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ento_zošit"/>
  <xr:revisionPtr revIDLastSave="0" documentId="8_{6B13CC98-9D2F-41C0-BA24-7AD10B237914}" xr6:coauthVersionLast="47" xr6:coauthVersionMax="47" xr10:uidLastSave="{00000000-0000-0000-0000-000000000000}"/>
  <bookViews>
    <workbookView xWindow="-120" yWindow="-120" windowWidth="29040" windowHeight="15720" tabRatio="737" firstSheet="11" activeTab="11"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INKREMENTY" sheetId="36" r:id="rId11"/>
    <sheet name="KATALOG_POZIADAVKY" sheetId="30" r:id="rId12"/>
    <sheet name="TCF_v02" sheetId="33" r:id="rId13"/>
    <sheet name="ECF_v02" sheetId="34" r:id="rId14"/>
    <sheet name="UAW_v02" sheetId="35" r:id="rId15"/>
    <sheet name="EXTERNE_POZICIE" sheetId="29" r:id="rId16"/>
    <sheet name="POZICIE_INTERNE" sheetId="37" r:id="rId17"/>
    <sheet name="Rozpocet - Vyvoj aplikacii" sheetId="26" r:id="rId18"/>
    <sheet name="ISCO_Prevodnik" sheetId="44" state="hidden" r:id="rId19"/>
    <sheet name="Rozpočet - HW a licencie" sheetId="27" r:id="rId20"/>
    <sheet name="Harmonogram" sheetId="28" r:id="rId21"/>
    <sheet name="TCO" sheetId="11" r:id="rId22"/>
    <sheet name="TCO AS IS - SW" sheetId="17" r:id="rId23"/>
    <sheet name="TCO AS IS - HW" sheetId="18" r:id="rId24"/>
    <sheet name="TCO TO BE- SW" sheetId="9" r:id="rId25"/>
    <sheet name="TCO TO BE - HW" sheetId="10" r:id="rId26"/>
    <sheet name="Faktory" sheetId="1" r:id="rId27"/>
    <sheet name="Ciselnik" sheetId="38" state="hidden" r:id="rId28"/>
    <sheet name="Procesné mapy" sheetId="22" r:id="rId29"/>
    <sheet name="Procesy - AS IS" sheetId="23" r:id="rId30"/>
    <sheet name="Procesy - TO BE" sheetId="24" r:id="rId31"/>
    <sheet name="Analyza citlivosti - AgendovéIS" sheetId="7" r:id="rId32"/>
    <sheet name="Rozdelenie prínosov" sheetId="14" state="hidden" r:id="rId33"/>
  </sheets>
  <externalReferences>
    <externalReference r:id="rId34"/>
  </externalReferences>
  <definedNames>
    <definedName name="_xlnm._FilterDatabase" localSheetId="11" hidden="1">KATALOG_POZIADAVKY!$A$2:$AE$815</definedName>
    <definedName name="_xlnm._FilterDatabase" localSheetId="17" hidden="1">'Rozpocet - Vyvoj aplikacii'!$B$2:$L$65</definedName>
    <definedName name="_xlnm._FilterDatabase" localSheetId="19" hidden="1">'Rozpočet - HW a licencie'!$A$2:$J$44</definedName>
    <definedName name="_ftn1" localSheetId="25">'TCO TO BE - HW'!$AB$81</definedName>
    <definedName name="_ftnref1" localSheetId="25">'TCO TO BE - HW'!$AB$76</definedName>
    <definedName name="Bezpecnost">ISCO_Prevodnik!$J$2:$J$3</definedName>
    <definedName name="Databazy">ISCO_Prevodnik!$H$2:$H$3</definedName>
    <definedName name="Faza" localSheetId="16">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6">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86" i="30" l="1"/>
  <c r="O486" i="30"/>
  <c r="N486" i="30"/>
  <c r="M486" i="30"/>
  <c r="L486" i="30"/>
  <c r="K486" i="30"/>
  <c r="J486" i="30"/>
  <c r="G27" i="37"/>
  <c r="G28" i="37"/>
  <c r="H4" i="32"/>
  <c r="H5" i="32"/>
  <c r="H6" i="32"/>
  <c r="H7" i="32"/>
  <c r="H8" i="32"/>
  <c r="H9" i="32"/>
  <c r="H10" i="32"/>
  <c r="H11" i="32"/>
  <c r="H12" i="32"/>
  <c r="H13" i="32"/>
  <c r="J4" i="30"/>
  <c r="J5" i="30"/>
  <c r="J6" i="30"/>
  <c r="J7" i="30"/>
  <c r="J8" i="30"/>
  <c r="J9" i="30"/>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J170" i="30"/>
  <c r="J171" i="30"/>
  <c r="J172" i="30"/>
  <c r="J173" i="30"/>
  <c r="J174" i="30"/>
  <c r="J175" i="30"/>
  <c r="J176" i="30"/>
  <c r="J177" i="30"/>
  <c r="J178" i="30"/>
  <c r="J179" i="30"/>
  <c r="J180" i="30"/>
  <c r="J181" i="30"/>
  <c r="J182" i="30"/>
  <c r="J183" i="30"/>
  <c r="J184" i="30"/>
  <c r="J185" i="30"/>
  <c r="J186" i="30"/>
  <c r="J187" i="30"/>
  <c r="J188" i="30"/>
  <c r="J189" i="30"/>
  <c r="J190" i="30"/>
  <c r="J191" i="30"/>
  <c r="J192" i="30"/>
  <c r="J193" i="30"/>
  <c r="J194" i="30"/>
  <c r="J195" i="30"/>
  <c r="J196" i="30"/>
  <c r="J197" i="30"/>
  <c r="J198" i="30"/>
  <c r="J199" i="30"/>
  <c r="J200" i="30"/>
  <c r="J201" i="30"/>
  <c r="J202" i="30"/>
  <c r="J203" i="30"/>
  <c r="J204" i="30"/>
  <c r="J205" i="30"/>
  <c r="J206" i="30"/>
  <c r="J207" i="30"/>
  <c r="J208" i="30"/>
  <c r="J209" i="30"/>
  <c r="J210" i="30"/>
  <c r="J211" i="30"/>
  <c r="J212" i="30"/>
  <c r="J213" i="30"/>
  <c r="J214" i="30"/>
  <c r="J215" i="30"/>
  <c r="J216" i="30"/>
  <c r="J217" i="30"/>
  <c r="J218" i="30"/>
  <c r="J219" i="30"/>
  <c r="J220" i="30"/>
  <c r="J221" i="30"/>
  <c r="J222" i="30"/>
  <c r="J223" i="30"/>
  <c r="J224" i="30"/>
  <c r="J225" i="30"/>
  <c r="J226" i="30"/>
  <c r="J227" i="30"/>
  <c r="J228" i="30"/>
  <c r="J229" i="30"/>
  <c r="J230" i="30"/>
  <c r="J231" i="30"/>
  <c r="J232" i="30"/>
  <c r="J233" i="30"/>
  <c r="J234" i="30"/>
  <c r="J235" i="30"/>
  <c r="J236" i="30"/>
  <c r="J237" i="30"/>
  <c r="J238" i="30"/>
  <c r="J239" i="30"/>
  <c r="J240" i="30"/>
  <c r="J241" i="30"/>
  <c r="J242" i="30"/>
  <c r="J243" i="30"/>
  <c r="J244" i="30"/>
  <c r="J245" i="30"/>
  <c r="J246" i="30"/>
  <c r="J247" i="30"/>
  <c r="J248" i="30"/>
  <c r="J249" i="30"/>
  <c r="J250" i="30"/>
  <c r="J251" i="30"/>
  <c r="J252" i="30"/>
  <c r="J253" i="30"/>
  <c r="J254" i="30"/>
  <c r="J255" i="30"/>
  <c r="J256" i="30"/>
  <c r="J257" i="30"/>
  <c r="J258" i="30"/>
  <c r="J259" i="30"/>
  <c r="J260" i="30"/>
  <c r="J261" i="30"/>
  <c r="J262" i="30"/>
  <c r="J263" i="30"/>
  <c r="J264" i="30"/>
  <c r="J265" i="30"/>
  <c r="J266" i="30"/>
  <c r="J267" i="30"/>
  <c r="J268" i="30"/>
  <c r="J269" i="30"/>
  <c r="J270" i="30"/>
  <c r="J271" i="30"/>
  <c r="J272" i="30"/>
  <c r="J273" i="30"/>
  <c r="J274" i="30"/>
  <c r="J275" i="30"/>
  <c r="J276" i="30"/>
  <c r="J277" i="30"/>
  <c r="J278" i="30"/>
  <c r="J279" i="30"/>
  <c r="J280" i="30"/>
  <c r="J281" i="30"/>
  <c r="J282" i="30"/>
  <c r="J283" i="30"/>
  <c r="J284" i="30"/>
  <c r="J285" i="30"/>
  <c r="J286" i="30"/>
  <c r="J287" i="30"/>
  <c r="J288" i="30"/>
  <c r="J289" i="30"/>
  <c r="J290" i="30"/>
  <c r="J291" i="30"/>
  <c r="J292" i="30"/>
  <c r="J293" i="30"/>
  <c r="J294" i="30"/>
  <c r="J295" i="30"/>
  <c r="J296" i="30"/>
  <c r="J297" i="30"/>
  <c r="J298" i="30"/>
  <c r="J299" i="30"/>
  <c r="J300" i="30"/>
  <c r="J301" i="30"/>
  <c r="J302" i="30"/>
  <c r="J303" i="30"/>
  <c r="J304" i="30"/>
  <c r="J305" i="30"/>
  <c r="J306" i="30"/>
  <c r="J307" i="30"/>
  <c r="J308" i="30"/>
  <c r="J309" i="30"/>
  <c r="J310" i="30"/>
  <c r="J311" i="30"/>
  <c r="J312" i="30"/>
  <c r="J313" i="30"/>
  <c r="J314" i="30"/>
  <c r="J315" i="30"/>
  <c r="J316" i="30"/>
  <c r="J317" i="30"/>
  <c r="J318" i="30"/>
  <c r="J319" i="30"/>
  <c r="J320" i="30"/>
  <c r="J321" i="30"/>
  <c r="J322" i="30"/>
  <c r="J323" i="30"/>
  <c r="J324" i="30"/>
  <c r="J325" i="30"/>
  <c r="J326" i="30"/>
  <c r="J327" i="30"/>
  <c r="J328" i="30"/>
  <c r="J329" i="30"/>
  <c r="J330" i="30"/>
  <c r="J331" i="30"/>
  <c r="J332" i="30"/>
  <c r="J333" i="30"/>
  <c r="J334" i="30"/>
  <c r="J335" i="30"/>
  <c r="J336" i="30"/>
  <c r="J337" i="30"/>
  <c r="J338" i="30"/>
  <c r="J339" i="30"/>
  <c r="J340" i="30"/>
  <c r="J341" i="30"/>
  <c r="J342" i="30"/>
  <c r="J343" i="30"/>
  <c r="J344" i="30"/>
  <c r="J345" i="30"/>
  <c r="J346" i="30"/>
  <c r="J347" i="30"/>
  <c r="J348" i="30"/>
  <c r="J349" i="30"/>
  <c r="J350" i="30"/>
  <c r="J351" i="30"/>
  <c r="J352" i="30"/>
  <c r="J353" i="30"/>
  <c r="J354" i="30"/>
  <c r="J355" i="30"/>
  <c r="J356" i="30"/>
  <c r="J357" i="30"/>
  <c r="J358" i="30"/>
  <c r="J359" i="30"/>
  <c r="J360" i="30"/>
  <c r="J361" i="30"/>
  <c r="J362" i="30"/>
  <c r="J363" i="30"/>
  <c r="J364" i="30"/>
  <c r="J365" i="30"/>
  <c r="J366" i="30"/>
  <c r="J367" i="30"/>
  <c r="J368" i="30"/>
  <c r="J369" i="30"/>
  <c r="J370" i="30"/>
  <c r="J371" i="30"/>
  <c r="J372" i="30"/>
  <c r="J373" i="30"/>
  <c r="J374" i="30"/>
  <c r="J375" i="30"/>
  <c r="J376" i="30"/>
  <c r="J377" i="30"/>
  <c r="J378" i="30"/>
  <c r="J379" i="30"/>
  <c r="J380" i="30"/>
  <c r="J381" i="30"/>
  <c r="J382" i="30"/>
  <c r="J383" i="30"/>
  <c r="J384" i="30"/>
  <c r="J385" i="30"/>
  <c r="J386" i="30"/>
  <c r="J387" i="30"/>
  <c r="J388" i="30"/>
  <c r="J389" i="30"/>
  <c r="J390" i="30"/>
  <c r="J391" i="30"/>
  <c r="J392" i="30"/>
  <c r="J393" i="30"/>
  <c r="J394" i="30"/>
  <c r="J395" i="30"/>
  <c r="J396" i="30"/>
  <c r="J397" i="30"/>
  <c r="J398" i="30"/>
  <c r="J399" i="30"/>
  <c r="J400" i="30"/>
  <c r="J401" i="30"/>
  <c r="J402" i="30"/>
  <c r="J403" i="30"/>
  <c r="J404" i="30"/>
  <c r="J405" i="30"/>
  <c r="J406" i="30"/>
  <c r="J407" i="30"/>
  <c r="J408" i="30"/>
  <c r="J409" i="30"/>
  <c r="J410" i="30"/>
  <c r="J411" i="30"/>
  <c r="J412" i="30"/>
  <c r="J413" i="30"/>
  <c r="J414" i="30"/>
  <c r="J415" i="30"/>
  <c r="J416" i="30"/>
  <c r="J417" i="30"/>
  <c r="J418" i="30"/>
  <c r="J419" i="30"/>
  <c r="J420" i="30"/>
  <c r="J421" i="30"/>
  <c r="J422" i="30"/>
  <c r="J423" i="30"/>
  <c r="J424" i="30"/>
  <c r="J425" i="30"/>
  <c r="J426" i="30"/>
  <c r="J427" i="30"/>
  <c r="J428" i="30"/>
  <c r="J429" i="30"/>
  <c r="J430" i="30"/>
  <c r="J431" i="30"/>
  <c r="J432" i="30"/>
  <c r="J433" i="30"/>
  <c r="J434" i="30"/>
  <c r="J435" i="30"/>
  <c r="J436" i="30"/>
  <c r="J437" i="30"/>
  <c r="J438" i="30"/>
  <c r="J439" i="30"/>
  <c r="J440" i="30"/>
  <c r="J441" i="30"/>
  <c r="J442" i="30"/>
  <c r="J443" i="30"/>
  <c r="J444" i="30"/>
  <c r="J445" i="30"/>
  <c r="J446" i="30"/>
  <c r="J447" i="30"/>
  <c r="J448" i="30"/>
  <c r="J449" i="30"/>
  <c r="J450" i="30"/>
  <c r="J451" i="30"/>
  <c r="J452" i="30"/>
  <c r="J453" i="30"/>
  <c r="J454" i="30"/>
  <c r="J455" i="30"/>
  <c r="J456" i="30"/>
  <c r="J457" i="30"/>
  <c r="J458" i="30"/>
  <c r="J459" i="30"/>
  <c r="J460" i="30"/>
  <c r="J461" i="30"/>
  <c r="J462" i="30"/>
  <c r="J463" i="30"/>
  <c r="J464" i="30"/>
  <c r="J465" i="30"/>
  <c r="J466" i="30"/>
  <c r="J467" i="30"/>
  <c r="J468" i="30"/>
  <c r="J469" i="30"/>
  <c r="J470" i="30"/>
  <c r="J471" i="30"/>
  <c r="J472" i="30"/>
  <c r="J473" i="30"/>
  <c r="J474" i="30"/>
  <c r="J475" i="30"/>
  <c r="J476" i="30"/>
  <c r="J477" i="30"/>
  <c r="J478" i="30"/>
  <c r="J479" i="30"/>
  <c r="J480" i="30"/>
  <c r="J481" i="30"/>
  <c r="J482" i="30"/>
  <c r="J483" i="30"/>
  <c r="J484" i="30"/>
  <c r="J485" i="30"/>
  <c r="J487" i="30"/>
  <c r="J488" i="30"/>
  <c r="J489" i="30"/>
  <c r="J490" i="30"/>
  <c r="J491" i="30"/>
  <c r="J492" i="30"/>
  <c r="J493" i="30"/>
  <c r="J494" i="30"/>
  <c r="J495" i="30"/>
  <c r="J496" i="30"/>
  <c r="J497" i="30"/>
  <c r="J498" i="30"/>
  <c r="J499" i="30"/>
  <c r="J500" i="30"/>
  <c r="J501" i="30"/>
  <c r="J502" i="30"/>
  <c r="J503" i="30"/>
  <c r="J504" i="30"/>
  <c r="J505" i="30"/>
  <c r="J506" i="30"/>
  <c r="J507" i="30"/>
  <c r="J508" i="30"/>
  <c r="J509" i="30"/>
  <c r="J510" i="30"/>
  <c r="J511" i="30"/>
  <c r="J512" i="30"/>
  <c r="J513" i="30"/>
  <c r="J514" i="30"/>
  <c r="J515" i="30"/>
  <c r="J516" i="30"/>
  <c r="J517" i="30"/>
  <c r="J518" i="30"/>
  <c r="J519" i="30"/>
  <c r="J520" i="30"/>
  <c r="J521" i="30"/>
  <c r="J522" i="30"/>
  <c r="J523" i="30"/>
  <c r="J524" i="30"/>
  <c r="J525" i="30"/>
  <c r="J526" i="30"/>
  <c r="J527" i="30"/>
  <c r="J528" i="30"/>
  <c r="J529" i="30"/>
  <c r="J530" i="30"/>
  <c r="J531" i="30"/>
  <c r="J532" i="30"/>
  <c r="J533" i="30"/>
  <c r="J534" i="30"/>
  <c r="J535" i="30"/>
  <c r="J536" i="30"/>
  <c r="J537" i="30"/>
  <c r="J538" i="30"/>
  <c r="J539" i="30"/>
  <c r="J540" i="30"/>
  <c r="J541" i="30"/>
  <c r="J542" i="30"/>
  <c r="J543" i="30"/>
  <c r="J544" i="30"/>
  <c r="J545" i="30"/>
  <c r="J546" i="30"/>
  <c r="J547" i="30"/>
  <c r="J548" i="30"/>
  <c r="J549" i="30"/>
  <c r="J550" i="30"/>
  <c r="J551" i="30"/>
  <c r="J552" i="30"/>
  <c r="J553" i="30"/>
  <c r="J554" i="30"/>
  <c r="J555" i="30"/>
  <c r="J556" i="30"/>
  <c r="J557" i="30"/>
  <c r="J558" i="30"/>
  <c r="J559" i="30"/>
  <c r="J560" i="30"/>
  <c r="J561" i="30"/>
  <c r="J562" i="30"/>
  <c r="J563" i="30"/>
  <c r="J564" i="30"/>
  <c r="J565" i="30"/>
  <c r="J566" i="30"/>
  <c r="J567" i="30"/>
  <c r="J568" i="30"/>
  <c r="J569" i="30"/>
  <c r="J570" i="30"/>
  <c r="J571" i="30"/>
  <c r="J572" i="30"/>
  <c r="J573" i="30"/>
  <c r="J574" i="30"/>
  <c r="J575" i="30"/>
  <c r="J576" i="30"/>
  <c r="J577" i="30"/>
  <c r="J578" i="30"/>
  <c r="J579" i="30"/>
  <c r="J580" i="30"/>
  <c r="J581" i="30"/>
  <c r="J582" i="30"/>
  <c r="J583" i="30"/>
  <c r="J584" i="30"/>
  <c r="J585" i="30"/>
  <c r="J586" i="30"/>
  <c r="J587" i="30"/>
  <c r="J588" i="30"/>
  <c r="J589" i="30"/>
  <c r="J590" i="30"/>
  <c r="J591" i="30"/>
  <c r="J592" i="30"/>
  <c r="J593" i="30"/>
  <c r="J594" i="30"/>
  <c r="J595" i="30"/>
  <c r="J596" i="30"/>
  <c r="J597" i="30"/>
  <c r="J598" i="30"/>
  <c r="J599" i="30"/>
  <c r="J600" i="30"/>
  <c r="J601" i="30"/>
  <c r="J602" i="30"/>
  <c r="J603" i="30"/>
  <c r="J604" i="30"/>
  <c r="J605" i="30"/>
  <c r="J606" i="30"/>
  <c r="J607" i="30"/>
  <c r="J608" i="30"/>
  <c r="J609" i="30"/>
  <c r="J610" i="30"/>
  <c r="J611" i="30"/>
  <c r="J612" i="30"/>
  <c r="J613" i="30"/>
  <c r="J614" i="30"/>
  <c r="J615" i="30"/>
  <c r="J616" i="30"/>
  <c r="J617" i="30"/>
  <c r="J618" i="30"/>
  <c r="J619" i="30"/>
  <c r="J620" i="30"/>
  <c r="J621" i="30"/>
  <c r="J622" i="30"/>
  <c r="J623" i="30"/>
  <c r="J624" i="30"/>
  <c r="J625" i="30"/>
  <c r="J626" i="30"/>
  <c r="J627" i="30"/>
  <c r="J628" i="30"/>
  <c r="J629" i="30"/>
  <c r="J630" i="30"/>
  <c r="J631" i="30"/>
  <c r="J632" i="30"/>
  <c r="J633" i="30"/>
  <c r="J634" i="30"/>
  <c r="J635" i="30"/>
  <c r="J636" i="30"/>
  <c r="J637" i="30"/>
  <c r="J638" i="30"/>
  <c r="J639" i="30"/>
  <c r="J640" i="30"/>
  <c r="J641" i="30"/>
  <c r="J642" i="30"/>
  <c r="J643" i="30"/>
  <c r="J644" i="30"/>
  <c r="J645" i="30"/>
  <c r="J646" i="30"/>
  <c r="J647" i="30"/>
  <c r="J648" i="30"/>
  <c r="J649" i="30"/>
  <c r="J650" i="30"/>
  <c r="J651" i="30"/>
  <c r="J652" i="30"/>
  <c r="J653" i="30"/>
  <c r="J654" i="30"/>
  <c r="J655" i="30"/>
  <c r="J656" i="30"/>
  <c r="J657" i="30"/>
  <c r="J658" i="30"/>
  <c r="J659" i="30"/>
  <c r="J660" i="30"/>
  <c r="J661" i="30"/>
  <c r="J662" i="30"/>
  <c r="J663" i="30"/>
  <c r="J664" i="30"/>
  <c r="J665" i="30"/>
  <c r="J666" i="30"/>
  <c r="J667" i="30"/>
  <c r="J668" i="30"/>
  <c r="J669" i="30"/>
  <c r="J670" i="30"/>
  <c r="J671" i="30"/>
  <c r="J672" i="30"/>
  <c r="J673" i="30"/>
  <c r="J674" i="30"/>
  <c r="J675" i="30"/>
  <c r="J676" i="30"/>
  <c r="J677" i="30"/>
  <c r="J678" i="30"/>
  <c r="J679" i="30"/>
  <c r="J680" i="30"/>
  <c r="J681" i="30"/>
  <c r="J682" i="30"/>
  <c r="J683" i="30"/>
  <c r="J684" i="30"/>
  <c r="J685" i="30"/>
  <c r="J686" i="30"/>
  <c r="J687" i="30"/>
  <c r="J688" i="30"/>
  <c r="J689" i="30"/>
  <c r="J690" i="30"/>
  <c r="J691" i="30"/>
  <c r="J692" i="30"/>
  <c r="J693" i="30"/>
  <c r="J694" i="30"/>
  <c r="J695" i="30"/>
  <c r="J696" i="30"/>
  <c r="J697" i="30"/>
  <c r="J698" i="30"/>
  <c r="J699" i="30"/>
  <c r="J700" i="30"/>
  <c r="J701" i="30"/>
  <c r="J702" i="30"/>
  <c r="J703" i="30"/>
  <c r="J704" i="30"/>
  <c r="J705" i="30"/>
  <c r="J706" i="30"/>
  <c r="J707" i="30"/>
  <c r="J708" i="30"/>
  <c r="J709" i="30"/>
  <c r="J710" i="30"/>
  <c r="J711" i="30"/>
  <c r="J712" i="30"/>
  <c r="J713" i="30"/>
  <c r="J714" i="30"/>
  <c r="J715" i="30"/>
  <c r="J716" i="30"/>
  <c r="J717" i="30"/>
  <c r="J718" i="30"/>
  <c r="J719" i="30"/>
  <c r="J720" i="30"/>
  <c r="J721" i="30"/>
  <c r="J722" i="30"/>
  <c r="J723" i="30"/>
  <c r="J724" i="30"/>
  <c r="J725" i="30"/>
  <c r="J726" i="30"/>
  <c r="J727" i="30"/>
  <c r="J728" i="30"/>
  <c r="J729" i="30"/>
  <c r="J730" i="30"/>
  <c r="J731" i="30"/>
  <c r="J732" i="30"/>
  <c r="J733" i="30"/>
  <c r="J734" i="30"/>
  <c r="J735" i="30"/>
  <c r="J736" i="30"/>
  <c r="J737" i="30"/>
  <c r="J738" i="30"/>
  <c r="J739" i="30"/>
  <c r="J740" i="30"/>
  <c r="J741" i="30"/>
  <c r="J742" i="30"/>
  <c r="J743" i="30"/>
  <c r="J744" i="30"/>
  <c r="J745" i="30"/>
  <c r="J746" i="30"/>
  <c r="J747" i="30"/>
  <c r="J748" i="30"/>
  <c r="J749" i="30"/>
  <c r="J750" i="30"/>
  <c r="J751" i="30"/>
  <c r="J752" i="30"/>
  <c r="J753" i="30"/>
  <c r="J754" i="30"/>
  <c r="J755" i="30"/>
  <c r="J756" i="30"/>
  <c r="J757" i="30"/>
  <c r="J758" i="30"/>
  <c r="J759" i="30"/>
  <c r="J760" i="30"/>
  <c r="J761" i="30"/>
  <c r="J762" i="30"/>
  <c r="J763" i="30"/>
  <c r="J764" i="30"/>
  <c r="J765" i="30"/>
  <c r="J766" i="30"/>
  <c r="J767" i="30"/>
  <c r="J768" i="30"/>
  <c r="J769" i="30"/>
  <c r="J770" i="30"/>
  <c r="J771" i="30"/>
  <c r="J772" i="30"/>
  <c r="J773" i="30"/>
  <c r="J774" i="30"/>
  <c r="J775" i="30"/>
  <c r="J776" i="30"/>
  <c r="J777" i="30"/>
  <c r="J778" i="30"/>
  <c r="J779" i="30"/>
  <c r="J780" i="30"/>
  <c r="J781" i="30"/>
  <c r="J782" i="30"/>
  <c r="J783" i="30"/>
  <c r="J784" i="30"/>
  <c r="J785" i="30"/>
  <c r="J786" i="30"/>
  <c r="J787" i="30"/>
  <c r="J788" i="30"/>
  <c r="J789" i="30"/>
  <c r="J790" i="30"/>
  <c r="J791" i="30"/>
  <c r="J792" i="30"/>
  <c r="J793" i="30"/>
  <c r="J794" i="30"/>
  <c r="J795" i="30"/>
  <c r="J796" i="30"/>
  <c r="J797" i="30"/>
  <c r="J798" i="30"/>
  <c r="J799" i="30"/>
  <c r="J800" i="30"/>
  <c r="J801" i="30"/>
  <c r="J802" i="30"/>
  <c r="J803" i="30"/>
  <c r="J804" i="30"/>
  <c r="J805" i="30"/>
  <c r="J806" i="30"/>
  <c r="J807" i="30"/>
  <c r="J808" i="30"/>
  <c r="J809" i="30"/>
  <c r="J810" i="30"/>
  <c r="J811" i="30"/>
  <c r="J812" i="30"/>
  <c r="J813" i="30"/>
  <c r="J814" i="30"/>
  <c r="J815" i="30"/>
  <c r="J3" i="30"/>
  <c r="G6" i="36"/>
  <c r="K524" i="30"/>
  <c r="M524" i="30"/>
  <c r="N524" i="30"/>
  <c r="Q524" i="30"/>
  <c r="K525" i="30"/>
  <c r="M525" i="30"/>
  <c r="N525" i="30"/>
  <c r="Q525" i="30"/>
  <c r="K526" i="30"/>
  <c r="M526" i="30"/>
  <c r="N526" i="30"/>
  <c r="Q526" i="30"/>
  <c r="K527" i="30"/>
  <c r="M527" i="30"/>
  <c r="N527" i="30"/>
  <c r="Q527" i="30"/>
  <c r="K528" i="30"/>
  <c r="M528" i="30"/>
  <c r="N528" i="30"/>
  <c r="Q528" i="30"/>
  <c r="K529" i="30"/>
  <c r="M529" i="30"/>
  <c r="N529" i="30"/>
  <c r="Q529" i="30"/>
  <c r="K530" i="30"/>
  <c r="M530" i="30"/>
  <c r="N530" i="30"/>
  <c r="Q530" i="30"/>
  <c r="K531" i="30"/>
  <c r="M531" i="30"/>
  <c r="N531" i="30"/>
  <c r="Q531" i="30"/>
  <c r="K532" i="30"/>
  <c r="M532" i="30"/>
  <c r="N532" i="30"/>
  <c r="Q532" i="30"/>
  <c r="K533" i="30"/>
  <c r="M533" i="30"/>
  <c r="N533" i="30"/>
  <c r="Q533" i="30"/>
  <c r="K534" i="30"/>
  <c r="M534" i="30"/>
  <c r="N534" i="30"/>
  <c r="Q534" i="30"/>
  <c r="K535" i="30"/>
  <c r="M535" i="30"/>
  <c r="N535" i="30"/>
  <c r="Q535" i="30"/>
  <c r="K536" i="30"/>
  <c r="M536" i="30"/>
  <c r="N536" i="30"/>
  <c r="Q536" i="30"/>
  <c r="K537" i="30"/>
  <c r="M537" i="30"/>
  <c r="N537" i="30"/>
  <c r="Q537" i="30"/>
  <c r="K538" i="30"/>
  <c r="M538" i="30"/>
  <c r="N538" i="30"/>
  <c r="Q538" i="30"/>
  <c r="K539" i="30"/>
  <c r="M539" i="30"/>
  <c r="N539" i="30"/>
  <c r="Q539" i="30"/>
  <c r="K540" i="30"/>
  <c r="M540" i="30"/>
  <c r="N540" i="30"/>
  <c r="Q540" i="30"/>
  <c r="K541" i="30"/>
  <c r="M541" i="30"/>
  <c r="N541" i="30"/>
  <c r="Q541" i="30"/>
  <c r="K542" i="30"/>
  <c r="M542" i="30"/>
  <c r="N542" i="30"/>
  <c r="Q542" i="30"/>
  <c r="K543" i="30"/>
  <c r="M543" i="30"/>
  <c r="N543" i="30"/>
  <c r="Q543" i="30"/>
  <c r="K544" i="30"/>
  <c r="M544" i="30"/>
  <c r="N544" i="30"/>
  <c r="Q544" i="30"/>
  <c r="K545" i="30"/>
  <c r="M545" i="30"/>
  <c r="N545" i="30"/>
  <c r="Q545" i="30"/>
  <c r="K546" i="30"/>
  <c r="M546" i="30"/>
  <c r="N546" i="30"/>
  <c r="Q546" i="30"/>
  <c r="K547" i="30"/>
  <c r="M547" i="30"/>
  <c r="N547" i="30"/>
  <c r="Q547" i="30"/>
  <c r="K548" i="30"/>
  <c r="M548" i="30"/>
  <c r="N548" i="30"/>
  <c r="Q548" i="30"/>
  <c r="K549" i="30"/>
  <c r="M549" i="30"/>
  <c r="N549" i="30"/>
  <c r="Q549" i="30"/>
  <c r="K550" i="30"/>
  <c r="M550" i="30"/>
  <c r="N550" i="30"/>
  <c r="Q550" i="30"/>
  <c r="K551" i="30"/>
  <c r="M551" i="30"/>
  <c r="N551" i="30"/>
  <c r="Q551" i="30"/>
  <c r="K552" i="30"/>
  <c r="M552" i="30"/>
  <c r="N552" i="30"/>
  <c r="Q552" i="30"/>
  <c r="K553" i="30"/>
  <c r="M553" i="30"/>
  <c r="N553" i="30"/>
  <c r="Q553" i="30"/>
  <c r="K554" i="30"/>
  <c r="M554" i="30"/>
  <c r="N554" i="30"/>
  <c r="Q554" i="30"/>
  <c r="K555" i="30"/>
  <c r="M555" i="30"/>
  <c r="N555" i="30"/>
  <c r="Q555" i="30"/>
  <c r="K556" i="30"/>
  <c r="M556" i="30"/>
  <c r="N556" i="30"/>
  <c r="Q556" i="30"/>
  <c r="K557" i="30"/>
  <c r="M557" i="30"/>
  <c r="N557" i="30"/>
  <c r="Q557" i="30"/>
  <c r="K558" i="30"/>
  <c r="M558" i="30"/>
  <c r="N558" i="30"/>
  <c r="Q558" i="30"/>
  <c r="K559" i="30"/>
  <c r="M559" i="30"/>
  <c r="N559" i="30"/>
  <c r="Q559" i="30"/>
  <c r="K560" i="30"/>
  <c r="M560" i="30"/>
  <c r="N560" i="30"/>
  <c r="Q560" i="30"/>
  <c r="K561" i="30"/>
  <c r="M561" i="30"/>
  <c r="N561" i="30"/>
  <c r="Q561" i="30"/>
  <c r="K562" i="30"/>
  <c r="M562" i="30"/>
  <c r="N562" i="30"/>
  <c r="Q562" i="30"/>
  <c r="K563" i="30"/>
  <c r="M563" i="30"/>
  <c r="N563" i="30"/>
  <c r="Q563" i="30"/>
  <c r="K564" i="30"/>
  <c r="M564" i="30"/>
  <c r="N564" i="30"/>
  <c r="Q564" i="30"/>
  <c r="K565" i="30"/>
  <c r="M565" i="30"/>
  <c r="N565" i="30"/>
  <c r="Q565" i="30"/>
  <c r="K566" i="30"/>
  <c r="M566" i="30"/>
  <c r="N566" i="30"/>
  <c r="Q566" i="30"/>
  <c r="K567" i="30"/>
  <c r="M567" i="30"/>
  <c r="N567" i="30"/>
  <c r="Q567" i="30"/>
  <c r="K568" i="30"/>
  <c r="M568" i="30"/>
  <c r="N568" i="30"/>
  <c r="Q568" i="30"/>
  <c r="K569" i="30"/>
  <c r="M569" i="30"/>
  <c r="N569" i="30"/>
  <c r="Q569" i="30"/>
  <c r="K570" i="30"/>
  <c r="M570" i="30"/>
  <c r="N570" i="30"/>
  <c r="Q570" i="30"/>
  <c r="K571" i="30"/>
  <c r="M571" i="30"/>
  <c r="N571" i="30"/>
  <c r="Q571" i="30"/>
  <c r="K572" i="30"/>
  <c r="M572" i="30"/>
  <c r="N572" i="30"/>
  <c r="Q572" i="30"/>
  <c r="K573" i="30"/>
  <c r="M573" i="30"/>
  <c r="N573" i="30"/>
  <c r="Q573" i="30"/>
  <c r="K574" i="30"/>
  <c r="M574" i="30"/>
  <c r="N574" i="30"/>
  <c r="Q574" i="30"/>
  <c r="K575" i="30"/>
  <c r="M575" i="30"/>
  <c r="N575" i="30"/>
  <c r="Q575" i="30"/>
  <c r="K576" i="30"/>
  <c r="M576" i="30"/>
  <c r="N576" i="30"/>
  <c r="Q576" i="30"/>
  <c r="K577" i="30"/>
  <c r="M577" i="30"/>
  <c r="N577" i="30"/>
  <c r="Q577" i="30"/>
  <c r="K578" i="30"/>
  <c r="M578" i="30"/>
  <c r="N578" i="30"/>
  <c r="Q578" i="30"/>
  <c r="K579" i="30"/>
  <c r="M579" i="30"/>
  <c r="N579" i="30"/>
  <c r="Q579" i="30"/>
  <c r="K580" i="30"/>
  <c r="M580" i="30"/>
  <c r="N580" i="30"/>
  <c r="Q580" i="30"/>
  <c r="K581" i="30"/>
  <c r="M581" i="30"/>
  <c r="N581" i="30"/>
  <c r="Q581" i="30"/>
  <c r="K582" i="30"/>
  <c r="M582" i="30"/>
  <c r="N582" i="30"/>
  <c r="Q582" i="30"/>
  <c r="K583" i="30"/>
  <c r="M583" i="30"/>
  <c r="N583" i="30"/>
  <c r="Q583" i="30"/>
  <c r="K584" i="30"/>
  <c r="M584" i="30"/>
  <c r="N584" i="30"/>
  <c r="Q584" i="30"/>
  <c r="K585" i="30"/>
  <c r="M585" i="30"/>
  <c r="N585" i="30"/>
  <c r="Q585" i="30"/>
  <c r="K586" i="30"/>
  <c r="M586" i="30"/>
  <c r="N586" i="30"/>
  <c r="Q586" i="30"/>
  <c r="K587" i="30"/>
  <c r="M587" i="30"/>
  <c r="N587" i="30"/>
  <c r="Q587" i="30"/>
  <c r="K588" i="30"/>
  <c r="M588" i="30"/>
  <c r="N588" i="30"/>
  <c r="Q588" i="30"/>
  <c r="K589" i="30"/>
  <c r="M589" i="30"/>
  <c r="N589" i="30"/>
  <c r="Q589" i="30"/>
  <c r="K590" i="30"/>
  <c r="M590" i="30"/>
  <c r="N590" i="30"/>
  <c r="Q590" i="30"/>
  <c r="K591" i="30"/>
  <c r="M591" i="30"/>
  <c r="N591" i="30"/>
  <c r="Q591" i="30"/>
  <c r="K592" i="30"/>
  <c r="M592" i="30"/>
  <c r="N592" i="30"/>
  <c r="Q592" i="30"/>
  <c r="K593" i="30"/>
  <c r="M593" i="30"/>
  <c r="N593" i="30"/>
  <c r="Q593" i="30"/>
  <c r="K594" i="30"/>
  <c r="M594" i="30"/>
  <c r="N594" i="30"/>
  <c r="Q594" i="30"/>
  <c r="K595" i="30"/>
  <c r="M595" i="30"/>
  <c r="N595" i="30"/>
  <c r="Q595" i="30"/>
  <c r="K596" i="30"/>
  <c r="M596" i="30"/>
  <c r="N596" i="30"/>
  <c r="Q596" i="30"/>
  <c r="K597" i="30"/>
  <c r="M597" i="30"/>
  <c r="N597" i="30"/>
  <c r="Q597" i="30"/>
  <c r="K598" i="30"/>
  <c r="M598" i="30"/>
  <c r="N598" i="30"/>
  <c r="Q598" i="30"/>
  <c r="K599" i="30"/>
  <c r="M599" i="30"/>
  <c r="N599" i="30"/>
  <c r="Q599" i="30"/>
  <c r="K600" i="30"/>
  <c r="M600" i="30"/>
  <c r="N600" i="30"/>
  <c r="Q600" i="30"/>
  <c r="K601" i="30"/>
  <c r="M601" i="30"/>
  <c r="N601" i="30"/>
  <c r="Q601" i="30"/>
  <c r="K602" i="30"/>
  <c r="M602" i="30"/>
  <c r="N602" i="30"/>
  <c r="Q602" i="30"/>
  <c r="K603" i="30"/>
  <c r="M603" i="30"/>
  <c r="N603" i="30"/>
  <c r="Q603" i="30"/>
  <c r="K604" i="30"/>
  <c r="M604" i="30"/>
  <c r="N604" i="30"/>
  <c r="Q604" i="30"/>
  <c r="K605" i="30"/>
  <c r="M605" i="30"/>
  <c r="N605" i="30"/>
  <c r="Q605" i="30"/>
  <c r="K606" i="30"/>
  <c r="M606" i="30"/>
  <c r="N606" i="30"/>
  <c r="Q606" i="30"/>
  <c r="K607" i="30"/>
  <c r="M607" i="30"/>
  <c r="N607" i="30"/>
  <c r="Q607" i="30"/>
  <c r="K608" i="30"/>
  <c r="M608" i="30"/>
  <c r="N608" i="30"/>
  <c r="Q608" i="30"/>
  <c r="K609" i="30"/>
  <c r="M609" i="30"/>
  <c r="N609" i="30"/>
  <c r="Q609" i="30"/>
  <c r="K610" i="30"/>
  <c r="M610" i="30"/>
  <c r="N610" i="30"/>
  <c r="Q610" i="30"/>
  <c r="K611" i="30"/>
  <c r="M611" i="30"/>
  <c r="N611" i="30"/>
  <c r="Q611" i="30"/>
  <c r="K612" i="30"/>
  <c r="M612" i="30"/>
  <c r="N612" i="30"/>
  <c r="Q612" i="30"/>
  <c r="K613" i="30"/>
  <c r="M613" i="30"/>
  <c r="N613" i="30"/>
  <c r="Q613" i="30"/>
  <c r="K614" i="30"/>
  <c r="M614" i="30"/>
  <c r="N614" i="30"/>
  <c r="Q614" i="30"/>
  <c r="K615" i="30"/>
  <c r="M615" i="30"/>
  <c r="N615" i="30"/>
  <c r="Q615" i="30"/>
  <c r="K616" i="30"/>
  <c r="M616" i="30"/>
  <c r="N616" i="30"/>
  <c r="Q616" i="30"/>
  <c r="K617" i="30"/>
  <c r="M617" i="30"/>
  <c r="N617" i="30"/>
  <c r="Q617" i="30"/>
  <c r="K618" i="30"/>
  <c r="M618" i="30"/>
  <c r="N618" i="30"/>
  <c r="Q618" i="30"/>
  <c r="K619" i="30"/>
  <c r="M619" i="30"/>
  <c r="N619" i="30"/>
  <c r="Q619" i="30"/>
  <c r="K620" i="30"/>
  <c r="M620" i="30"/>
  <c r="N620" i="30"/>
  <c r="Q620" i="30"/>
  <c r="K621" i="30"/>
  <c r="M621" i="30"/>
  <c r="N621" i="30"/>
  <c r="Q621" i="30"/>
  <c r="K622" i="30"/>
  <c r="M622" i="30"/>
  <c r="N622" i="30"/>
  <c r="Q622" i="30"/>
  <c r="K623" i="30"/>
  <c r="M623" i="30"/>
  <c r="N623" i="30"/>
  <c r="Q623" i="30"/>
  <c r="K624" i="30"/>
  <c r="M624" i="30"/>
  <c r="N624" i="30"/>
  <c r="Q624" i="30"/>
  <c r="K625" i="30"/>
  <c r="M625" i="30"/>
  <c r="N625" i="30"/>
  <c r="Q625" i="30"/>
  <c r="K626" i="30"/>
  <c r="M626" i="30"/>
  <c r="N626" i="30"/>
  <c r="Q626" i="30"/>
  <c r="K627" i="30"/>
  <c r="M627" i="30"/>
  <c r="N627" i="30"/>
  <c r="Q627" i="30"/>
  <c r="K628" i="30"/>
  <c r="M628" i="30"/>
  <c r="N628" i="30"/>
  <c r="Q628" i="30"/>
  <c r="K629" i="30"/>
  <c r="M629" i="30"/>
  <c r="N629" i="30"/>
  <c r="Q629" i="30"/>
  <c r="K630" i="30"/>
  <c r="M630" i="30"/>
  <c r="N630" i="30"/>
  <c r="Q630" i="30"/>
  <c r="K631" i="30"/>
  <c r="M631" i="30"/>
  <c r="N631" i="30"/>
  <c r="Q631" i="30"/>
  <c r="K632" i="30"/>
  <c r="M632" i="30"/>
  <c r="N632" i="30"/>
  <c r="Q632" i="30"/>
  <c r="K633" i="30"/>
  <c r="M633" i="30"/>
  <c r="N633" i="30"/>
  <c r="Q633" i="30"/>
  <c r="K634" i="30"/>
  <c r="M634" i="30"/>
  <c r="N634" i="30"/>
  <c r="Q634" i="30"/>
  <c r="K635" i="30"/>
  <c r="M635" i="30"/>
  <c r="N635" i="30"/>
  <c r="Q635" i="30"/>
  <c r="K636" i="30"/>
  <c r="M636" i="30"/>
  <c r="N636" i="30"/>
  <c r="Q636" i="30"/>
  <c r="K637" i="30"/>
  <c r="M637" i="30"/>
  <c r="N637" i="30"/>
  <c r="Q637" i="30"/>
  <c r="K638" i="30"/>
  <c r="M638" i="30"/>
  <c r="N638" i="30"/>
  <c r="Q638" i="30"/>
  <c r="K639" i="30"/>
  <c r="M639" i="30"/>
  <c r="N639" i="30"/>
  <c r="Q639" i="30"/>
  <c r="K640" i="30"/>
  <c r="M640" i="30"/>
  <c r="N640" i="30"/>
  <c r="Q640" i="30"/>
  <c r="K641" i="30"/>
  <c r="M641" i="30"/>
  <c r="N641" i="30"/>
  <c r="Q641" i="30"/>
  <c r="K642" i="30"/>
  <c r="M642" i="30"/>
  <c r="N642" i="30"/>
  <c r="Q642" i="30"/>
  <c r="K643" i="30"/>
  <c r="M643" i="30"/>
  <c r="N643" i="30"/>
  <c r="Q643" i="30"/>
  <c r="K644" i="30"/>
  <c r="M644" i="30"/>
  <c r="N644" i="30"/>
  <c r="Q644" i="30"/>
  <c r="K645" i="30"/>
  <c r="M645" i="30"/>
  <c r="N645" i="30"/>
  <c r="Q645" i="30"/>
  <c r="K646" i="30"/>
  <c r="M646" i="30"/>
  <c r="N646" i="30"/>
  <c r="Q646" i="30"/>
  <c r="K647" i="30"/>
  <c r="M647" i="30"/>
  <c r="N647" i="30"/>
  <c r="Q647" i="30"/>
  <c r="K648" i="30"/>
  <c r="M648" i="30"/>
  <c r="N648" i="30"/>
  <c r="Q648" i="30"/>
  <c r="K649" i="30"/>
  <c r="M649" i="30"/>
  <c r="N649" i="30"/>
  <c r="Q649" i="30"/>
  <c r="K650" i="30"/>
  <c r="M650" i="30"/>
  <c r="N650" i="30"/>
  <c r="Q650" i="30"/>
  <c r="K651" i="30"/>
  <c r="M651" i="30"/>
  <c r="N651" i="30"/>
  <c r="Q651" i="30"/>
  <c r="K652" i="30"/>
  <c r="M652" i="30"/>
  <c r="N652" i="30"/>
  <c r="Q652" i="30"/>
  <c r="K653" i="30"/>
  <c r="M653" i="30"/>
  <c r="N653" i="30"/>
  <c r="Q653" i="30"/>
  <c r="K654" i="30"/>
  <c r="M654" i="30"/>
  <c r="N654" i="30"/>
  <c r="Q654" i="30"/>
  <c r="K655" i="30"/>
  <c r="M655" i="30"/>
  <c r="N655" i="30"/>
  <c r="Q655" i="30"/>
  <c r="K656" i="30"/>
  <c r="M656" i="30"/>
  <c r="N656" i="30"/>
  <c r="Q656" i="30"/>
  <c r="K657" i="30"/>
  <c r="M657" i="30"/>
  <c r="N657" i="30"/>
  <c r="Q657" i="30"/>
  <c r="K658" i="30"/>
  <c r="M658" i="30"/>
  <c r="N658" i="30"/>
  <c r="Q658" i="30"/>
  <c r="K659" i="30"/>
  <c r="M659" i="30"/>
  <c r="N659" i="30"/>
  <c r="Q659" i="30"/>
  <c r="K660" i="30"/>
  <c r="M660" i="30"/>
  <c r="N660" i="30"/>
  <c r="Q660" i="30"/>
  <c r="K661" i="30"/>
  <c r="M661" i="30"/>
  <c r="N661" i="30"/>
  <c r="Q661" i="30"/>
  <c r="K662" i="30"/>
  <c r="M662" i="30"/>
  <c r="N662" i="30"/>
  <c r="Q662" i="30"/>
  <c r="K663" i="30"/>
  <c r="M663" i="30"/>
  <c r="N663" i="30"/>
  <c r="Q663" i="30"/>
  <c r="K664" i="30"/>
  <c r="M664" i="30"/>
  <c r="N664" i="30"/>
  <c r="Q664" i="30"/>
  <c r="K665" i="30"/>
  <c r="M665" i="30"/>
  <c r="N665" i="30"/>
  <c r="Q665" i="30"/>
  <c r="K666" i="30"/>
  <c r="M666" i="30"/>
  <c r="N666" i="30"/>
  <c r="Q666" i="30"/>
  <c r="K667" i="30"/>
  <c r="M667" i="30"/>
  <c r="N667" i="30"/>
  <c r="Q667" i="30"/>
  <c r="K668" i="30"/>
  <c r="M668" i="30"/>
  <c r="N668" i="30"/>
  <c r="Q668" i="30"/>
  <c r="K669" i="30"/>
  <c r="M669" i="30"/>
  <c r="N669" i="30"/>
  <c r="Q669" i="30"/>
  <c r="K670" i="30"/>
  <c r="M670" i="30"/>
  <c r="N670" i="30"/>
  <c r="Q670" i="30"/>
  <c r="K671" i="30"/>
  <c r="M671" i="30"/>
  <c r="N671" i="30"/>
  <c r="Q671" i="30"/>
  <c r="K672" i="30"/>
  <c r="M672" i="30"/>
  <c r="N672" i="30"/>
  <c r="Q672" i="30"/>
  <c r="K673" i="30"/>
  <c r="M673" i="30"/>
  <c r="N673" i="30"/>
  <c r="Q673" i="30"/>
  <c r="K674" i="30"/>
  <c r="M674" i="30"/>
  <c r="N674" i="30"/>
  <c r="Q674" i="30"/>
  <c r="K675" i="30"/>
  <c r="M675" i="30"/>
  <c r="N675" i="30"/>
  <c r="Q675" i="30"/>
  <c r="K676" i="30"/>
  <c r="M676" i="30"/>
  <c r="N676" i="30"/>
  <c r="Q676" i="30"/>
  <c r="K677" i="30"/>
  <c r="M677" i="30"/>
  <c r="N677" i="30"/>
  <c r="Q677" i="30"/>
  <c r="K678" i="30"/>
  <c r="M678" i="30"/>
  <c r="N678" i="30"/>
  <c r="Q678" i="30"/>
  <c r="K679" i="30"/>
  <c r="M679" i="30"/>
  <c r="N679" i="30"/>
  <c r="Q679" i="30"/>
  <c r="K680" i="30"/>
  <c r="M680" i="30"/>
  <c r="N680" i="30"/>
  <c r="Q680" i="30"/>
  <c r="K681" i="30"/>
  <c r="M681" i="30"/>
  <c r="N681" i="30"/>
  <c r="Q681" i="30"/>
  <c r="K682" i="30"/>
  <c r="M682" i="30"/>
  <c r="N682" i="30"/>
  <c r="Q682" i="30"/>
  <c r="K683" i="30"/>
  <c r="M683" i="30"/>
  <c r="N683" i="30"/>
  <c r="Q683" i="30"/>
  <c r="K684" i="30"/>
  <c r="M684" i="30"/>
  <c r="N684" i="30"/>
  <c r="Q684" i="30"/>
  <c r="K685" i="30"/>
  <c r="M685" i="30"/>
  <c r="N685" i="30"/>
  <c r="Q685" i="30"/>
  <c r="K686" i="30"/>
  <c r="M686" i="30"/>
  <c r="N686" i="30"/>
  <c r="Q686" i="30"/>
  <c r="K687" i="30"/>
  <c r="M687" i="30"/>
  <c r="N687" i="30"/>
  <c r="Q687" i="30"/>
  <c r="K688" i="30"/>
  <c r="M688" i="30"/>
  <c r="N688" i="30"/>
  <c r="Q688" i="30"/>
  <c r="K689" i="30"/>
  <c r="M689" i="30"/>
  <c r="N689" i="30"/>
  <c r="Q689" i="30"/>
  <c r="K690" i="30"/>
  <c r="M690" i="30"/>
  <c r="N690" i="30"/>
  <c r="Q690" i="30"/>
  <c r="K691" i="30"/>
  <c r="M691" i="30"/>
  <c r="N691" i="30"/>
  <c r="Q691" i="30"/>
  <c r="K692" i="30"/>
  <c r="M692" i="30"/>
  <c r="N692" i="30"/>
  <c r="Q692" i="30"/>
  <c r="K693" i="30"/>
  <c r="M693" i="30"/>
  <c r="N693" i="30"/>
  <c r="Q693" i="30"/>
  <c r="K694" i="30"/>
  <c r="M694" i="30"/>
  <c r="N694" i="30"/>
  <c r="Q694" i="30"/>
  <c r="K695" i="30"/>
  <c r="M695" i="30"/>
  <c r="N695" i="30"/>
  <c r="Q695" i="30"/>
  <c r="K696" i="30"/>
  <c r="M696" i="30"/>
  <c r="N696" i="30"/>
  <c r="Q696" i="30"/>
  <c r="K697" i="30"/>
  <c r="M697" i="30"/>
  <c r="N697" i="30"/>
  <c r="Q697" i="30"/>
  <c r="K698" i="30"/>
  <c r="M698" i="30"/>
  <c r="N698" i="30"/>
  <c r="Q698" i="30"/>
  <c r="K699" i="30"/>
  <c r="M699" i="30"/>
  <c r="N699" i="30"/>
  <c r="Q699" i="30"/>
  <c r="K700" i="30"/>
  <c r="M700" i="30"/>
  <c r="N700" i="30"/>
  <c r="Q700" i="30"/>
  <c r="K701" i="30"/>
  <c r="M701" i="30"/>
  <c r="N701" i="30"/>
  <c r="Q701" i="30"/>
  <c r="K702" i="30"/>
  <c r="M702" i="30"/>
  <c r="N702" i="30"/>
  <c r="Q702" i="30"/>
  <c r="K703" i="30"/>
  <c r="M703" i="30"/>
  <c r="N703" i="30"/>
  <c r="Q703" i="30"/>
  <c r="K704" i="30"/>
  <c r="M704" i="30"/>
  <c r="N704" i="30"/>
  <c r="Q704" i="30"/>
  <c r="K705" i="30"/>
  <c r="M705" i="30"/>
  <c r="N705" i="30"/>
  <c r="Q705" i="30"/>
  <c r="K706" i="30"/>
  <c r="M706" i="30"/>
  <c r="N706" i="30"/>
  <c r="Q706" i="30"/>
  <c r="K707" i="30"/>
  <c r="M707" i="30"/>
  <c r="N707" i="30"/>
  <c r="Q707" i="30"/>
  <c r="K708" i="30"/>
  <c r="M708" i="30"/>
  <c r="N708" i="30"/>
  <c r="Q708" i="30"/>
  <c r="K709" i="30"/>
  <c r="M709" i="30"/>
  <c r="N709" i="30"/>
  <c r="Q709" i="30"/>
  <c r="K710" i="30"/>
  <c r="M710" i="30"/>
  <c r="N710" i="30"/>
  <c r="Q710" i="30"/>
  <c r="K711" i="30"/>
  <c r="M711" i="30"/>
  <c r="N711" i="30"/>
  <c r="Q711" i="30"/>
  <c r="K712" i="30"/>
  <c r="M712" i="30"/>
  <c r="N712" i="30"/>
  <c r="Q712" i="30"/>
  <c r="K713" i="30"/>
  <c r="M713" i="30"/>
  <c r="N713" i="30"/>
  <c r="Q713" i="30"/>
  <c r="K714" i="30"/>
  <c r="M714" i="30"/>
  <c r="N714" i="30"/>
  <c r="Q714" i="30"/>
  <c r="K715" i="30"/>
  <c r="M715" i="30"/>
  <c r="N715" i="30"/>
  <c r="Q715" i="30"/>
  <c r="K716" i="30"/>
  <c r="M716" i="30"/>
  <c r="N716" i="30"/>
  <c r="Q716" i="30"/>
  <c r="K717" i="30"/>
  <c r="M717" i="30"/>
  <c r="N717" i="30"/>
  <c r="Q717" i="30"/>
  <c r="K718" i="30"/>
  <c r="M718" i="30"/>
  <c r="N718" i="30"/>
  <c r="Q718" i="30"/>
  <c r="K719" i="30"/>
  <c r="M719" i="30"/>
  <c r="N719" i="30"/>
  <c r="Q719" i="30"/>
  <c r="K720" i="30"/>
  <c r="M720" i="30"/>
  <c r="N720" i="30"/>
  <c r="Q720" i="30"/>
  <c r="K721" i="30"/>
  <c r="M721" i="30"/>
  <c r="N721" i="30"/>
  <c r="Q721" i="30"/>
  <c r="K722" i="30"/>
  <c r="M722" i="30"/>
  <c r="N722" i="30"/>
  <c r="Q722" i="30"/>
  <c r="K723" i="30"/>
  <c r="M723" i="30"/>
  <c r="N723" i="30"/>
  <c r="Q723" i="30"/>
  <c r="K724" i="30"/>
  <c r="M724" i="30"/>
  <c r="N724" i="30"/>
  <c r="Q724" i="30"/>
  <c r="K725" i="30"/>
  <c r="M725" i="30"/>
  <c r="N725" i="30"/>
  <c r="Q725" i="30"/>
  <c r="K726" i="30"/>
  <c r="M726" i="30"/>
  <c r="N726" i="30"/>
  <c r="Q726" i="30"/>
  <c r="K727" i="30"/>
  <c r="M727" i="30"/>
  <c r="N727" i="30"/>
  <c r="Q727" i="30"/>
  <c r="K728" i="30"/>
  <c r="M728" i="30"/>
  <c r="N728" i="30"/>
  <c r="Q728" i="30"/>
  <c r="K729" i="30"/>
  <c r="M729" i="30"/>
  <c r="N729" i="30"/>
  <c r="Q729" i="30"/>
  <c r="K730" i="30"/>
  <c r="M730" i="30"/>
  <c r="N730" i="30"/>
  <c r="Q730" i="30"/>
  <c r="K731" i="30"/>
  <c r="M731" i="30"/>
  <c r="N731" i="30"/>
  <c r="Q731" i="30"/>
  <c r="K732" i="30"/>
  <c r="M732" i="30"/>
  <c r="N732" i="30"/>
  <c r="Q732" i="30"/>
  <c r="K733" i="30"/>
  <c r="M733" i="30"/>
  <c r="N733" i="30"/>
  <c r="Q733" i="30"/>
  <c r="K734" i="30"/>
  <c r="M734" i="30"/>
  <c r="N734" i="30"/>
  <c r="Q734" i="30"/>
  <c r="K735" i="30"/>
  <c r="M735" i="30"/>
  <c r="N735" i="30"/>
  <c r="Q735" i="30"/>
  <c r="K736" i="30"/>
  <c r="M736" i="30"/>
  <c r="N736" i="30"/>
  <c r="Q736" i="30"/>
  <c r="K737" i="30"/>
  <c r="M737" i="30"/>
  <c r="N737" i="30"/>
  <c r="Q737" i="30"/>
  <c r="K738" i="30"/>
  <c r="M738" i="30"/>
  <c r="N738" i="30"/>
  <c r="Q738" i="30"/>
  <c r="K739" i="30"/>
  <c r="M739" i="30"/>
  <c r="N739" i="30"/>
  <c r="Q739" i="30"/>
  <c r="K740" i="30"/>
  <c r="M740" i="30"/>
  <c r="N740" i="30"/>
  <c r="Q740" i="30"/>
  <c r="K741" i="30"/>
  <c r="M741" i="30"/>
  <c r="N741" i="30"/>
  <c r="Q741" i="30"/>
  <c r="K742" i="30"/>
  <c r="M742" i="30"/>
  <c r="N742" i="30"/>
  <c r="Q742" i="30"/>
  <c r="K743" i="30"/>
  <c r="M743" i="30"/>
  <c r="N743" i="30"/>
  <c r="Q743" i="30"/>
  <c r="K744" i="30"/>
  <c r="M744" i="30"/>
  <c r="N744" i="30"/>
  <c r="Q744" i="30"/>
  <c r="K745" i="30"/>
  <c r="M745" i="30"/>
  <c r="N745" i="30"/>
  <c r="Q745" i="30"/>
  <c r="K746" i="30"/>
  <c r="M746" i="30"/>
  <c r="N746" i="30"/>
  <c r="Q746" i="30"/>
  <c r="K747" i="30"/>
  <c r="M747" i="30"/>
  <c r="N747" i="30"/>
  <c r="Q747" i="30"/>
  <c r="K748" i="30"/>
  <c r="M748" i="30"/>
  <c r="N748" i="30"/>
  <c r="Q748" i="30"/>
  <c r="K749" i="30"/>
  <c r="M749" i="30"/>
  <c r="N749" i="30"/>
  <c r="Q749" i="30"/>
  <c r="K750" i="30"/>
  <c r="M750" i="30"/>
  <c r="N750" i="30"/>
  <c r="Q750" i="30"/>
  <c r="K751" i="30"/>
  <c r="M751" i="30"/>
  <c r="N751" i="30"/>
  <c r="Q751" i="30"/>
  <c r="K752" i="30"/>
  <c r="M752" i="30"/>
  <c r="N752" i="30"/>
  <c r="Q752" i="30"/>
  <c r="K753" i="30"/>
  <c r="M753" i="30"/>
  <c r="N753" i="30"/>
  <c r="Q753" i="30"/>
  <c r="K754" i="30"/>
  <c r="M754" i="30"/>
  <c r="N754" i="30"/>
  <c r="Q754" i="30"/>
  <c r="K755" i="30"/>
  <c r="M755" i="30"/>
  <c r="N755" i="30"/>
  <c r="Q755" i="30"/>
  <c r="K756" i="30"/>
  <c r="M756" i="30"/>
  <c r="N756" i="30"/>
  <c r="Q756" i="30"/>
  <c r="K757" i="30"/>
  <c r="M757" i="30"/>
  <c r="N757" i="30"/>
  <c r="Q757" i="30"/>
  <c r="K758" i="30"/>
  <c r="M758" i="30"/>
  <c r="N758" i="30"/>
  <c r="Q758" i="30"/>
  <c r="K759" i="30"/>
  <c r="M759" i="30"/>
  <c r="N759" i="30"/>
  <c r="Q759" i="30"/>
  <c r="K760" i="30"/>
  <c r="M760" i="30"/>
  <c r="N760" i="30"/>
  <c r="Q760" i="30"/>
  <c r="K761" i="30"/>
  <c r="M761" i="30"/>
  <c r="N761" i="30"/>
  <c r="Q761" i="30"/>
  <c r="K762" i="30"/>
  <c r="M762" i="30"/>
  <c r="N762" i="30"/>
  <c r="Q762" i="30"/>
  <c r="K763" i="30"/>
  <c r="M763" i="30"/>
  <c r="N763" i="30"/>
  <c r="Q763" i="30"/>
  <c r="K764" i="30"/>
  <c r="M764" i="30"/>
  <c r="N764" i="30"/>
  <c r="Q764" i="30"/>
  <c r="K765" i="30"/>
  <c r="M765" i="30"/>
  <c r="N765" i="30"/>
  <c r="Q765" i="30"/>
  <c r="K766" i="30"/>
  <c r="M766" i="30"/>
  <c r="N766" i="30"/>
  <c r="Q766" i="30"/>
  <c r="K767" i="30"/>
  <c r="M767" i="30"/>
  <c r="N767" i="30"/>
  <c r="Q767" i="30"/>
  <c r="K768" i="30"/>
  <c r="M768" i="30"/>
  <c r="N768" i="30"/>
  <c r="Q768" i="30"/>
  <c r="K769" i="30"/>
  <c r="M769" i="30"/>
  <c r="N769" i="30"/>
  <c r="Q769" i="30"/>
  <c r="K770" i="30"/>
  <c r="M770" i="30"/>
  <c r="N770" i="30"/>
  <c r="Q770" i="30"/>
  <c r="K771" i="30"/>
  <c r="M771" i="30"/>
  <c r="N771" i="30"/>
  <c r="Q771" i="30"/>
  <c r="K772" i="30"/>
  <c r="M772" i="30"/>
  <c r="N772" i="30"/>
  <c r="Q772" i="30"/>
  <c r="K773" i="30"/>
  <c r="M773" i="30"/>
  <c r="N773" i="30"/>
  <c r="Q773" i="30"/>
  <c r="K774" i="30"/>
  <c r="M774" i="30"/>
  <c r="N774" i="30"/>
  <c r="Q774" i="30"/>
  <c r="K775" i="30"/>
  <c r="M775" i="30"/>
  <c r="N775" i="30"/>
  <c r="Q775" i="30"/>
  <c r="K776" i="30"/>
  <c r="M776" i="30"/>
  <c r="N776" i="30"/>
  <c r="Q776" i="30"/>
  <c r="K777" i="30"/>
  <c r="M777" i="30"/>
  <c r="N777" i="30"/>
  <c r="Q777" i="30"/>
  <c r="K778" i="30"/>
  <c r="M778" i="30"/>
  <c r="N778" i="30"/>
  <c r="Q778" i="30"/>
  <c r="K779" i="30"/>
  <c r="M779" i="30"/>
  <c r="N779" i="30"/>
  <c r="Q779" i="30"/>
  <c r="K780" i="30"/>
  <c r="M780" i="30"/>
  <c r="N780" i="30"/>
  <c r="Q780" i="30"/>
  <c r="K781" i="30"/>
  <c r="M781" i="30"/>
  <c r="N781" i="30"/>
  <c r="Q781" i="30"/>
  <c r="K782" i="30"/>
  <c r="M782" i="30"/>
  <c r="N782" i="30"/>
  <c r="Q782" i="30"/>
  <c r="K783" i="30"/>
  <c r="M783" i="30"/>
  <c r="N783" i="30"/>
  <c r="Q783" i="30"/>
  <c r="K784" i="30"/>
  <c r="M784" i="30"/>
  <c r="N784" i="30"/>
  <c r="Q784" i="30"/>
  <c r="K785" i="30"/>
  <c r="M785" i="30"/>
  <c r="N785" i="30"/>
  <c r="Q785" i="30"/>
  <c r="K786" i="30"/>
  <c r="M786" i="30"/>
  <c r="N786" i="30"/>
  <c r="Q786" i="30"/>
  <c r="K787" i="30"/>
  <c r="M787" i="30"/>
  <c r="N787" i="30"/>
  <c r="Q787" i="30"/>
  <c r="K788" i="30"/>
  <c r="M788" i="30"/>
  <c r="N788" i="30"/>
  <c r="Q788" i="30"/>
  <c r="K789" i="30"/>
  <c r="M789" i="30"/>
  <c r="N789" i="30"/>
  <c r="Q789" i="30"/>
  <c r="K790" i="30"/>
  <c r="M790" i="30"/>
  <c r="N790" i="30"/>
  <c r="Q790" i="30"/>
  <c r="K791" i="30"/>
  <c r="M791" i="30"/>
  <c r="N791" i="30"/>
  <c r="Q791" i="30"/>
  <c r="K792" i="30"/>
  <c r="M792" i="30"/>
  <c r="N792" i="30"/>
  <c r="Q792" i="30"/>
  <c r="K793" i="30"/>
  <c r="M793" i="30"/>
  <c r="N793" i="30"/>
  <c r="Q793" i="30"/>
  <c r="K794" i="30"/>
  <c r="M794" i="30"/>
  <c r="N794" i="30"/>
  <c r="Q794" i="30"/>
  <c r="K795" i="30"/>
  <c r="M795" i="30"/>
  <c r="N795" i="30"/>
  <c r="Q795" i="30"/>
  <c r="K796" i="30"/>
  <c r="M796" i="30"/>
  <c r="N796" i="30"/>
  <c r="Q796" i="30"/>
  <c r="K797" i="30"/>
  <c r="M797" i="30"/>
  <c r="N797" i="30"/>
  <c r="Q797" i="30"/>
  <c r="K798" i="30"/>
  <c r="M798" i="30"/>
  <c r="N798" i="30"/>
  <c r="Q798" i="30"/>
  <c r="K799" i="30"/>
  <c r="M799" i="30"/>
  <c r="N799" i="30"/>
  <c r="Q799" i="30"/>
  <c r="K800" i="30"/>
  <c r="M800" i="30"/>
  <c r="N800" i="30"/>
  <c r="Q800" i="30"/>
  <c r="K801" i="30"/>
  <c r="M801" i="30"/>
  <c r="N801" i="30"/>
  <c r="Q801" i="30"/>
  <c r="K802" i="30"/>
  <c r="M802" i="30"/>
  <c r="N802" i="30"/>
  <c r="Q802" i="30"/>
  <c r="K803" i="30"/>
  <c r="M803" i="30"/>
  <c r="N803" i="30"/>
  <c r="Q803" i="30"/>
  <c r="K804" i="30"/>
  <c r="M804" i="30"/>
  <c r="N804" i="30"/>
  <c r="Q804" i="30"/>
  <c r="K805" i="30"/>
  <c r="M805" i="30"/>
  <c r="N805" i="30"/>
  <c r="Q805" i="30"/>
  <c r="K806" i="30"/>
  <c r="M806" i="30"/>
  <c r="N806" i="30"/>
  <c r="Q806" i="30"/>
  <c r="K807" i="30"/>
  <c r="M807" i="30"/>
  <c r="N807" i="30"/>
  <c r="Q807" i="30"/>
  <c r="K808" i="30"/>
  <c r="M808" i="30"/>
  <c r="N808" i="30"/>
  <c r="Q808" i="30"/>
  <c r="K809" i="30"/>
  <c r="M809" i="30"/>
  <c r="N809" i="30"/>
  <c r="Q809" i="30"/>
  <c r="K810" i="30"/>
  <c r="M810" i="30"/>
  <c r="N810" i="30"/>
  <c r="Q810" i="30"/>
  <c r="K811" i="30"/>
  <c r="M811" i="30"/>
  <c r="N811" i="30"/>
  <c r="Q811" i="30"/>
  <c r="K812" i="30"/>
  <c r="M812" i="30"/>
  <c r="N812" i="30"/>
  <c r="Q812" i="30"/>
  <c r="K813" i="30"/>
  <c r="M813" i="30"/>
  <c r="N813" i="30"/>
  <c r="Q813" i="30"/>
  <c r="K814" i="30"/>
  <c r="M814" i="30"/>
  <c r="N814" i="30"/>
  <c r="Q814" i="30"/>
  <c r="K815" i="30"/>
  <c r="M815" i="30"/>
  <c r="N815" i="30"/>
  <c r="Q815" i="30"/>
  <c r="Q450" i="30"/>
  <c r="N450" i="30"/>
  <c r="M450" i="30"/>
  <c r="K450" i="30"/>
  <c r="Q423" i="30"/>
  <c r="Q424" i="30"/>
  <c r="Q425" i="30"/>
  <c r="Q426" i="30"/>
  <c r="Q427" i="30"/>
  <c r="N423" i="30"/>
  <c r="N424" i="30"/>
  <c r="N425" i="30"/>
  <c r="N426" i="30"/>
  <c r="N427" i="30"/>
  <c r="M423" i="30"/>
  <c r="M424" i="30"/>
  <c r="M425" i="30"/>
  <c r="M426" i="30"/>
  <c r="M427" i="30"/>
  <c r="K423" i="30"/>
  <c r="K424" i="30"/>
  <c r="K425" i="30"/>
  <c r="K426" i="30"/>
  <c r="K427" i="30"/>
  <c r="Q408" i="30"/>
  <c r="Q409" i="30"/>
  <c r="Q410" i="30"/>
  <c r="Q411" i="30"/>
  <c r="Q412" i="30"/>
  <c r="N408" i="30"/>
  <c r="N409" i="30"/>
  <c r="N410" i="30"/>
  <c r="N411" i="30"/>
  <c r="N412" i="30"/>
  <c r="M408" i="30"/>
  <c r="M409" i="30"/>
  <c r="M410" i="30"/>
  <c r="M411" i="30"/>
  <c r="M412" i="30"/>
  <c r="K408" i="30"/>
  <c r="K409" i="30"/>
  <c r="K410" i="30"/>
  <c r="K411" i="30"/>
  <c r="K412" i="30"/>
  <c r="Q398" i="30"/>
  <c r="Q399" i="30"/>
  <c r="Q400" i="30"/>
  <c r="Q401" i="30"/>
  <c r="Q402" i="30"/>
  <c r="N398" i="30"/>
  <c r="N399" i="30"/>
  <c r="N400" i="30"/>
  <c r="N401" i="30"/>
  <c r="N402" i="30"/>
  <c r="M398" i="30"/>
  <c r="M399" i="30"/>
  <c r="M400" i="30"/>
  <c r="M401" i="30"/>
  <c r="M402" i="30"/>
  <c r="K398" i="30"/>
  <c r="K399" i="30"/>
  <c r="K400" i="30"/>
  <c r="K401" i="30"/>
  <c r="K402" i="30"/>
  <c r="G5" i="36"/>
  <c r="K499" i="30"/>
  <c r="L499" i="30"/>
  <c r="M499" i="30"/>
  <c r="N499" i="30"/>
  <c r="Q499" i="30"/>
  <c r="Q396" i="30"/>
  <c r="N396" i="30"/>
  <c r="M396" i="30"/>
  <c r="K396" i="30"/>
  <c r="E11" i="2"/>
  <c r="E12" i="2"/>
  <c r="E13" i="2"/>
  <c r="H9" i="28"/>
  <c r="J9" i="28"/>
  <c r="Q386" i="30"/>
  <c r="Q387" i="30"/>
  <c r="Q388" i="30"/>
  <c r="N386" i="30"/>
  <c r="N387" i="30"/>
  <c r="M386" i="30"/>
  <c r="M387" i="30"/>
  <c r="K387" i="30"/>
  <c r="K386" i="30"/>
  <c r="H13" i="39"/>
  <c r="Q394" i="30"/>
  <c r="Q395" i="30"/>
  <c r="Q397" i="30"/>
  <c r="Q403" i="30"/>
  <c r="N394" i="30"/>
  <c r="N395" i="30"/>
  <c r="N397" i="30"/>
  <c r="M394" i="30"/>
  <c r="M395" i="30"/>
  <c r="M397" i="30"/>
  <c r="K397" i="30"/>
  <c r="K395" i="30"/>
  <c r="K394" i="30"/>
  <c r="Q389" i="30"/>
  <c r="Q390" i="30"/>
  <c r="Q391" i="30"/>
  <c r="Q392" i="30"/>
  <c r="Q393" i="30"/>
  <c r="N389" i="30"/>
  <c r="N390" i="30"/>
  <c r="N391" i="30"/>
  <c r="N392" i="30"/>
  <c r="N393" i="30"/>
  <c r="M389" i="30"/>
  <c r="M390" i="30"/>
  <c r="M391" i="30"/>
  <c r="M392" i="30"/>
  <c r="M393" i="30"/>
  <c r="K393" i="30"/>
  <c r="K392" i="30"/>
  <c r="K391" i="30"/>
  <c r="K390" i="30"/>
  <c r="K389" i="30"/>
  <c r="Q449" i="30"/>
  <c r="N449" i="30"/>
  <c r="M449" i="30"/>
  <c r="K449" i="30"/>
  <c r="Q405" i="30"/>
  <c r="N405" i="30"/>
  <c r="M405" i="30"/>
  <c r="K405" i="30"/>
  <c r="Q487" i="30"/>
  <c r="N487" i="30"/>
  <c r="M487" i="30"/>
  <c r="L487" i="30"/>
  <c r="K487" i="30"/>
  <c r="E25" i="17"/>
  <c r="H65" i="37"/>
  <c r="O499" i="30" l="1"/>
  <c r="P499" i="30" s="1"/>
  <c r="O487" i="30"/>
  <c r="P487" i="30" s="1"/>
  <c r="H4" i="39"/>
  <c r="K453" i="30"/>
  <c r="M453" i="30"/>
  <c r="N453" i="30"/>
  <c r="Q453" i="30"/>
  <c r="K454" i="30"/>
  <c r="M454" i="30"/>
  <c r="N454" i="30"/>
  <c r="Q454" i="30"/>
  <c r="K455" i="30"/>
  <c r="M455" i="30"/>
  <c r="N455" i="30"/>
  <c r="Q455" i="30"/>
  <c r="K456" i="30"/>
  <c r="M456" i="30"/>
  <c r="N456" i="30"/>
  <c r="Q456" i="30"/>
  <c r="K457" i="30"/>
  <c r="M457" i="30"/>
  <c r="N457" i="30"/>
  <c r="Q457" i="30"/>
  <c r="K458" i="30"/>
  <c r="M458" i="30"/>
  <c r="N458" i="30"/>
  <c r="Q458" i="30"/>
  <c r="K459" i="30"/>
  <c r="M459" i="30"/>
  <c r="N459" i="30"/>
  <c r="Q459" i="30"/>
  <c r="K460" i="30"/>
  <c r="M460" i="30"/>
  <c r="N460" i="30"/>
  <c r="Q460" i="30"/>
  <c r="K461" i="30"/>
  <c r="M461" i="30"/>
  <c r="N461" i="30"/>
  <c r="Q461" i="30"/>
  <c r="K462" i="30"/>
  <c r="M462" i="30"/>
  <c r="N462" i="30"/>
  <c r="Q462" i="30"/>
  <c r="K463" i="30"/>
  <c r="M463" i="30"/>
  <c r="N463" i="30"/>
  <c r="Q463" i="30"/>
  <c r="Q467" i="30"/>
  <c r="N467" i="30"/>
  <c r="M467" i="30"/>
  <c r="K467" i="30"/>
  <c r="A65" i="37"/>
  <c r="E5" i="35"/>
  <c r="Q523" i="30" l="1"/>
  <c r="N523" i="30"/>
  <c r="M523" i="30"/>
  <c r="L523" i="30"/>
  <c r="K523" i="30"/>
  <c r="Q522" i="30"/>
  <c r="N522" i="30"/>
  <c r="M522" i="30"/>
  <c r="L522" i="30"/>
  <c r="K522" i="30"/>
  <c r="Q521" i="30"/>
  <c r="N521" i="30"/>
  <c r="M521" i="30"/>
  <c r="L521" i="30"/>
  <c r="K521" i="30"/>
  <c r="Q520" i="30"/>
  <c r="N520" i="30"/>
  <c r="M520" i="30"/>
  <c r="L520" i="30"/>
  <c r="K520" i="30"/>
  <c r="Q519" i="30"/>
  <c r="N519" i="30"/>
  <c r="M519" i="30"/>
  <c r="L519" i="30"/>
  <c r="K519" i="30"/>
  <c r="Q518" i="30"/>
  <c r="N518" i="30"/>
  <c r="M518" i="30"/>
  <c r="L518" i="30"/>
  <c r="K518" i="30"/>
  <c r="Q517" i="30"/>
  <c r="N517" i="30"/>
  <c r="M517" i="30"/>
  <c r="L517" i="30"/>
  <c r="K517" i="30"/>
  <c r="Q516" i="30"/>
  <c r="N516" i="30"/>
  <c r="M516" i="30"/>
  <c r="L516" i="30"/>
  <c r="K516" i="30"/>
  <c r="Q515" i="30"/>
  <c r="N515" i="30"/>
  <c r="M515" i="30"/>
  <c r="L515" i="30"/>
  <c r="K515" i="30"/>
  <c r="Q514" i="30"/>
  <c r="N514" i="30"/>
  <c r="M514" i="30"/>
  <c r="L514" i="30"/>
  <c r="K514" i="30"/>
  <c r="Q513" i="30"/>
  <c r="N513" i="30"/>
  <c r="M513" i="30"/>
  <c r="L513" i="30"/>
  <c r="K513" i="30"/>
  <c r="Q512" i="30"/>
  <c r="N512" i="30"/>
  <c r="M512" i="30"/>
  <c r="L512" i="30"/>
  <c r="K512" i="30"/>
  <c r="Q511" i="30"/>
  <c r="N511" i="30"/>
  <c r="M511" i="30"/>
  <c r="L511" i="30"/>
  <c r="K511" i="30"/>
  <c r="Q510" i="30"/>
  <c r="N510" i="30"/>
  <c r="M510" i="30"/>
  <c r="L510" i="30"/>
  <c r="K510" i="30"/>
  <c r="Q509" i="30"/>
  <c r="N509" i="30"/>
  <c r="M509" i="30"/>
  <c r="L509" i="30"/>
  <c r="K509" i="30"/>
  <c r="Q508" i="30"/>
  <c r="N508" i="30"/>
  <c r="M508" i="30"/>
  <c r="L508" i="30"/>
  <c r="K508" i="30"/>
  <c r="Q507" i="30"/>
  <c r="N507" i="30"/>
  <c r="M507" i="30"/>
  <c r="L507" i="30"/>
  <c r="K507" i="30"/>
  <c r="Q506" i="30"/>
  <c r="N506" i="30"/>
  <c r="M506" i="30"/>
  <c r="L506" i="30"/>
  <c r="K506" i="30"/>
  <c r="Q505" i="30"/>
  <c r="N505" i="30"/>
  <c r="M505" i="30"/>
  <c r="L505" i="30"/>
  <c r="K505" i="30"/>
  <c r="Q504" i="30"/>
  <c r="N504" i="30"/>
  <c r="M504" i="30"/>
  <c r="L504" i="30"/>
  <c r="K504" i="30"/>
  <c r="Q503" i="30"/>
  <c r="N503" i="30"/>
  <c r="M503" i="30"/>
  <c r="L503" i="30"/>
  <c r="K503" i="30"/>
  <c r="Q502" i="30"/>
  <c r="N502" i="30"/>
  <c r="M502" i="30"/>
  <c r="L502" i="30"/>
  <c r="K502" i="30"/>
  <c r="Q501" i="30"/>
  <c r="N501" i="30"/>
  <c r="M501" i="30"/>
  <c r="L501" i="30"/>
  <c r="K501" i="30"/>
  <c r="Q500" i="30"/>
  <c r="N500" i="30"/>
  <c r="M500" i="30"/>
  <c r="L500" i="30"/>
  <c r="K500" i="30"/>
  <c r="Q498" i="30"/>
  <c r="N498" i="30"/>
  <c r="M498" i="30"/>
  <c r="L498" i="30"/>
  <c r="K498" i="30"/>
  <c r="Q497" i="30"/>
  <c r="N497" i="30"/>
  <c r="M497" i="30"/>
  <c r="L497" i="30"/>
  <c r="K497" i="30"/>
  <c r="Q496" i="30"/>
  <c r="N496" i="30"/>
  <c r="M496" i="30"/>
  <c r="L496" i="30"/>
  <c r="K496" i="30"/>
  <c r="Q495" i="30"/>
  <c r="N495" i="30"/>
  <c r="M495" i="30"/>
  <c r="L495" i="30"/>
  <c r="K495" i="30"/>
  <c r="Q494" i="30"/>
  <c r="N494" i="30"/>
  <c r="M494" i="30"/>
  <c r="L494" i="30"/>
  <c r="K494" i="30"/>
  <c r="Q493" i="30"/>
  <c r="N493" i="30"/>
  <c r="M493" i="30"/>
  <c r="L493" i="30"/>
  <c r="K493" i="30"/>
  <c r="Q492" i="30"/>
  <c r="N492" i="30"/>
  <c r="M492" i="30"/>
  <c r="L492" i="30"/>
  <c r="K492" i="30"/>
  <c r="Q491" i="30"/>
  <c r="N491" i="30"/>
  <c r="M491" i="30"/>
  <c r="L491" i="30"/>
  <c r="K491" i="30"/>
  <c r="Q490" i="30"/>
  <c r="N490" i="30"/>
  <c r="M490" i="30"/>
  <c r="L490" i="30"/>
  <c r="K490" i="30"/>
  <c r="Q489" i="30"/>
  <c r="N489" i="30"/>
  <c r="M489" i="30"/>
  <c r="L489" i="30"/>
  <c r="K489" i="30"/>
  <c r="Q488" i="30"/>
  <c r="N488" i="30"/>
  <c r="M488" i="30"/>
  <c r="L488" i="30"/>
  <c r="K488" i="30"/>
  <c r="Q485" i="30"/>
  <c r="N485" i="30"/>
  <c r="M485" i="30"/>
  <c r="L485" i="30"/>
  <c r="K485" i="30"/>
  <c r="Q484" i="30"/>
  <c r="N484" i="30"/>
  <c r="M484" i="30"/>
  <c r="L484" i="30"/>
  <c r="K484" i="30"/>
  <c r="Q483" i="30"/>
  <c r="N483" i="30"/>
  <c r="M483" i="30"/>
  <c r="L483" i="30"/>
  <c r="K483" i="30"/>
  <c r="Q482" i="30"/>
  <c r="N482" i="30"/>
  <c r="M482" i="30"/>
  <c r="L482" i="30"/>
  <c r="K482" i="30"/>
  <c r="Q481" i="30"/>
  <c r="N481" i="30"/>
  <c r="M481" i="30"/>
  <c r="L481" i="30"/>
  <c r="K481" i="30"/>
  <c r="Q480" i="30"/>
  <c r="N480" i="30"/>
  <c r="M480" i="30"/>
  <c r="L480" i="30"/>
  <c r="K480" i="30"/>
  <c r="Q479" i="30"/>
  <c r="N479" i="30"/>
  <c r="M479" i="30"/>
  <c r="L479" i="30"/>
  <c r="K479" i="30"/>
  <c r="Q478" i="30"/>
  <c r="N478" i="30"/>
  <c r="M478" i="30"/>
  <c r="L478" i="30"/>
  <c r="K478" i="30"/>
  <c r="Q477" i="30"/>
  <c r="N477" i="30"/>
  <c r="M477" i="30"/>
  <c r="L477" i="30"/>
  <c r="K477" i="30"/>
  <c r="Q476" i="30"/>
  <c r="N476" i="30"/>
  <c r="M476" i="30"/>
  <c r="L476" i="30"/>
  <c r="K476" i="30"/>
  <c r="Q475" i="30"/>
  <c r="N475" i="30"/>
  <c r="M475" i="30"/>
  <c r="L475" i="30"/>
  <c r="K475" i="30"/>
  <c r="Q474" i="30"/>
  <c r="N474" i="30"/>
  <c r="M474" i="30"/>
  <c r="L474" i="30"/>
  <c r="K474" i="30"/>
  <c r="Q473" i="30"/>
  <c r="N473" i="30"/>
  <c r="M473" i="30"/>
  <c r="L473" i="30"/>
  <c r="K473" i="30"/>
  <c r="Q472" i="30"/>
  <c r="N472" i="30"/>
  <c r="M472" i="30"/>
  <c r="L472" i="30"/>
  <c r="K472" i="30"/>
  <c r="Q471" i="30"/>
  <c r="N471" i="30"/>
  <c r="M471" i="30"/>
  <c r="L471" i="30"/>
  <c r="K471" i="30"/>
  <c r="Q470" i="30"/>
  <c r="N470" i="30"/>
  <c r="M470" i="30"/>
  <c r="L470" i="30"/>
  <c r="K470" i="30"/>
  <c r="Q469" i="30"/>
  <c r="N469" i="30"/>
  <c r="M469" i="30"/>
  <c r="L469" i="30"/>
  <c r="K469" i="30"/>
  <c r="Q468" i="30"/>
  <c r="K468" i="30"/>
  <c r="Q466" i="30"/>
  <c r="K466" i="30"/>
  <c r="Q465" i="30"/>
  <c r="K465" i="30"/>
  <c r="Q464" i="30"/>
  <c r="K464" i="30"/>
  <c r="Q452" i="30"/>
  <c r="K452" i="30"/>
  <c r="Q451" i="30"/>
  <c r="K451" i="30"/>
  <c r="Q448" i="30"/>
  <c r="K448" i="30"/>
  <c r="Q447" i="30"/>
  <c r="K447" i="30"/>
  <c r="Q446" i="30"/>
  <c r="K446" i="30"/>
  <c r="Q445" i="30"/>
  <c r="K445" i="30"/>
  <c r="Q444" i="30"/>
  <c r="K444" i="30"/>
  <c r="Q443" i="30"/>
  <c r="K443" i="30"/>
  <c r="Q442" i="30"/>
  <c r="K442" i="30"/>
  <c r="Q441" i="30"/>
  <c r="K441" i="30"/>
  <c r="Q440" i="30"/>
  <c r="K440" i="30"/>
  <c r="Q439" i="30"/>
  <c r="K439" i="30"/>
  <c r="Q438" i="30"/>
  <c r="K438" i="30"/>
  <c r="Q437" i="30"/>
  <c r="K437" i="30"/>
  <c r="Q436" i="30"/>
  <c r="K436" i="30"/>
  <c r="Q435" i="30"/>
  <c r="K435" i="30"/>
  <c r="Q434" i="30"/>
  <c r="K434" i="30"/>
  <c r="Q433" i="30"/>
  <c r="K433" i="30"/>
  <c r="Q432" i="30"/>
  <c r="K432" i="30"/>
  <c r="Q430" i="30"/>
  <c r="K430" i="30"/>
  <c r="Q429" i="30"/>
  <c r="K429" i="30"/>
  <c r="Q428" i="30"/>
  <c r="K428" i="30"/>
  <c r="Q422" i="30"/>
  <c r="K422" i="30"/>
  <c r="Q421" i="30"/>
  <c r="K421" i="30"/>
  <c r="Q420" i="30"/>
  <c r="K420" i="30"/>
  <c r="Q419" i="30"/>
  <c r="K419" i="30"/>
  <c r="Q418" i="30"/>
  <c r="K418" i="30"/>
  <c r="Q417" i="30"/>
  <c r="K417" i="30"/>
  <c r="Q416" i="30"/>
  <c r="K416" i="30"/>
  <c r="Q415" i="30"/>
  <c r="K415" i="30"/>
  <c r="Q414" i="30"/>
  <c r="K414" i="30"/>
  <c r="Q413" i="30"/>
  <c r="K413" i="30"/>
  <c r="Q407" i="30"/>
  <c r="K407" i="30"/>
  <c r="Q406" i="30"/>
  <c r="K406" i="30"/>
  <c r="Q404" i="30"/>
  <c r="K404" i="30"/>
  <c r="K403" i="30"/>
  <c r="K388" i="30"/>
  <c r="Q385" i="30"/>
  <c r="K385" i="30"/>
  <c r="Q384" i="30"/>
  <c r="K384" i="30"/>
  <c r="Q383" i="30"/>
  <c r="K383" i="30"/>
  <c r="Q382" i="30"/>
  <c r="K382" i="30"/>
  <c r="Q381" i="30"/>
  <c r="K381" i="30"/>
  <c r="Q380" i="30"/>
  <c r="K380" i="30"/>
  <c r="Q379" i="30"/>
  <c r="K379" i="30"/>
  <c r="Q378" i="30"/>
  <c r="K378" i="30"/>
  <c r="Q377" i="30"/>
  <c r="K377" i="30"/>
  <c r="Q376" i="30"/>
  <c r="K376" i="30"/>
  <c r="Q375" i="30"/>
  <c r="K375" i="30"/>
  <c r="Q374" i="30"/>
  <c r="K374" i="30"/>
  <c r="Q373" i="30"/>
  <c r="K373" i="30"/>
  <c r="Q372" i="30"/>
  <c r="K372" i="30"/>
  <c r="Q371" i="30"/>
  <c r="K371" i="30"/>
  <c r="Q370" i="30"/>
  <c r="K370" i="30"/>
  <c r="Q369" i="30"/>
  <c r="K369" i="30"/>
  <c r="Q368" i="30"/>
  <c r="K368" i="30"/>
  <c r="Q367" i="30"/>
  <c r="K367" i="30"/>
  <c r="Q366" i="30"/>
  <c r="K366" i="30"/>
  <c r="Q365" i="30"/>
  <c r="K365" i="30"/>
  <c r="Q364" i="30"/>
  <c r="K364" i="30"/>
  <c r="Q363" i="30"/>
  <c r="K363" i="30"/>
  <c r="Q362" i="30"/>
  <c r="K362" i="30"/>
  <c r="Q361" i="30"/>
  <c r="K361" i="30"/>
  <c r="Q360" i="30"/>
  <c r="K360" i="30"/>
  <c r="Q359" i="30"/>
  <c r="K359" i="30"/>
  <c r="Q358" i="30"/>
  <c r="K358" i="30"/>
  <c r="Q357" i="30"/>
  <c r="K357" i="30"/>
  <c r="Q356" i="30"/>
  <c r="K356" i="30"/>
  <c r="Q355" i="30"/>
  <c r="K355" i="30"/>
  <c r="Q354" i="30"/>
  <c r="K354" i="30"/>
  <c r="Q353" i="30"/>
  <c r="K353" i="30"/>
  <c r="Q352" i="30"/>
  <c r="K352" i="30"/>
  <c r="Q351" i="30"/>
  <c r="K351" i="30"/>
  <c r="Q350" i="30"/>
  <c r="K350" i="30"/>
  <c r="Q349" i="30"/>
  <c r="K349" i="30"/>
  <c r="Q348" i="30"/>
  <c r="K348" i="30"/>
  <c r="Q347" i="30"/>
  <c r="K347" i="30"/>
  <c r="Q346" i="30"/>
  <c r="K346" i="30"/>
  <c r="Q345" i="30"/>
  <c r="K345" i="30"/>
  <c r="Q344" i="30"/>
  <c r="K344" i="30"/>
  <c r="Q343" i="30"/>
  <c r="K343" i="30"/>
  <c r="Q342" i="30"/>
  <c r="K342" i="30"/>
  <c r="Q341" i="30"/>
  <c r="K341" i="30"/>
  <c r="Q340" i="30"/>
  <c r="K340" i="30"/>
  <c r="Q339" i="30"/>
  <c r="K339" i="30"/>
  <c r="Q338" i="30"/>
  <c r="K338" i="30"/>
  <c r="Q337" i="30"/>
  <c r="K337" i="30"/>
  <c r="Q336" i="30"/>
  <c r="K336" i="30"/>
  <c r="Q335" i="30"/>
  <c r="K335" i="30"/>
  <c r="Q334" i="30"/>
  <c r="K334" i="30"/>
  <c r="Q333" i="30"/>
  <c r="K333" i="30"/>
  <c r="Q332" i="30"/>
  <c r="K332" i="30"/>
  <c r="Q331" i="30"/>
  <c r="K331" i="30"/>
  <c r="Q330" i="30"/>
  <c r="K330" i="30"/>
  <c r="Q329" i="30"/>
  <c r="K329" i="30"/>
  <c r="Q328" i="30"/>
  <c r="K328" i="30"/>
  <c r="Q327" i="30"/>
  <c r="K327" i="30"/>
  <c r="Q326" i="30"/>
  <c r="K326" i="30"/>
  <c r="Q325" i="30"/>
  <c r="K325" i="30"/>
  <c r="Q324" i="30"/>
  <c r="K324" i="30"/>
  <c r="Q323" i="30"/>
  <c r="K323" i="30"/>
  <c r="Q322" i="30"/>
  <c r="K322" i="30"/>
  <c r="Q321" i="30"/>
  <c r="K321" i="30"/>
  <c r="Q320" i="30"/>
  <c r="K320" i="30"/>
  <c r="Q319" i="30"/>
  <c r="K319" i="30"/>
  <c r="Q318" i="30"/>
  <c r="K318" i="30"/>
  <c r="Q317" i="30"/>
  <c r="K317" i="30"/>
  <c r="Q316" i="30"/>
  <c r="K316" i="30"/>
  <c r="Q315" i="30"/>
  <c r="K315" i="30"/>
  <c r="Q314" i="30"/>
  <c r="K314" i="30"/>
  <c r="Q313" i="30"/>
  <c r="K313" i="30"/>
  <c r="Q312" i="30"/>
  <c r="K312" i="30"/>
  <c r="Q311" i="30"/>
  <c r="K311" i="30"/>
  <c r="Q310" i="30"/>
  <c r="K310" i="30"/>
  <c r="Q309" i="30"/>
  <c r="K309" i="30"/>
  <c r="Q308" i="30"/>
  <c r="K308" i="30"/>
  <c r="Q307" i="30"/>
  <c r="K307" i="30"/>
  <c r="Q306" i="30"/>
  <c r="K306" i="30"/>
  <c r="Q305" i="30"/>
  <c r="K305" i="30"/>
  <c r="Q304" i="30"/>
  <c r="K304" i="30"/>
  <c r="Q303" i="30"/>
  <c r="K303" i="30"/>
  <c r="Q302" i="30"/>
  <c r="K302" i="30"/>
  <c r="Q301" i="30"/>
  <c r="K301" i="30"/>
  <c r="Q431" i="30"/>
  <c r="K431" i="30"/>
  <c r="O471" i="30" l="1"/>
  <c r="P471" i="30" s="1"/>
  <c r="O476" i="30"/>
  <c r="P476" i="30" s="1"/>
  <c r="O481" i="30"/>
  <c r="P481" i="30" s="1"/>
  <c r="O488" i="30"/>
  <c r="P488" i="30" s="1"/>
  <c r="O493" i="30"/>
  <c r="P493" i="30" s="1"/>
  <c r="O498" i="30"/>
  <c r="P498" i="30" s="1"/>
  <c r="O504" i="30"/>
  <c r="P504" i="30" s="1"/>
  <c r="O509" i="30"/>
  <c r="P509" i="30" s="1"/>
  <c r="O514" i="30"/>
  <c r="P514" i="30" s="1"/>
  <c r="O519" i="30"/>
  <c r="P519" i="30" s="1"/>
  <c r="O470" i="30"/>
  <c r="P470" i="30" s="1"/>
  <c r="O475" i="30"/>
  <c r="P475" i="30" s="1"/>
  <c r="O480" i="30"/>
  <c r="P480" i="30" s="1"/>
  <c r="O485" i="30"/>
  <c r="P485" i="30" s="1"/>
  <c r="O492" i="30"/>
  <c r="P492" i="30" s="1"/>
  <c r="O497" i="30"/>
  <c r="P497" i="30" s="1"/>
  <c r="O503" i="30"/>
  <c r="P503" i="30" s="1"/>
  <c r="O508" i="30"/>
  <c r="P508" i="30" s="1"/>
  <c r="O513" i="30"/>
  <c r="P513" i="30" s="1"/>
  <c r="O518" i="30"/>
  <c r="P518" i="30" s="1"/>
  <c r="O523" i="30"/>
  <c r="P523" i="30" s="1"/>
  <c r="O483" i="30"/>
  <c r="P483" i="30" s="1"/>
  <c r="O490" i="30"/>
  <c r="P490" i="30" s="1"/>
  <c r="O495" i="30"/>
  <c r="P495" i="30" s="1"/>
  <c r="O501" i="30"/>
  <c r="P501" i="30" s="1"/>
  <c r="O506" i="30"/>
  <c r="P506" i="30" s="1"/>
  <c r="O511" i="30"/>
  <c r="P511" i="30" s="1"/>
  <c r="O516" i="30"/>
  <c r="P516" i="30" s="1"/>
  <c r="O521" i="30"/>
  <c r="P521" i="30" s="1"/>
  <c r="O482" i="30"/>
  <c r="P482" i="30" s="1"/>
  <c r="O489" i="30"/>
  <c r="P489" i="30" s="1"/>
  <c r="O494" i="30"/>
  <c r="P494" i="30" s="1"/>
  <c r="O500" i="30"/>
  <c r="P500" i="30" s="1"/>
  <c r="O505" i="30"/>
  <c r="P505" i="30" s="1"/>
  <c r="O510" i="30"/>
  <c r="P510" i="30" s="1"/>
  <c r="O515" i="30"/>
  <c r="P515" i="30" s="1"/>
  <c r="O520" i="30"/>
  <c r="P520" i="30" s="1"/>
  <c r="O484" i="30"/>
  <c r="P484" i="30" s="1"/>
  <c r="O491" i="30"/>
  <c r="P491" i="30" s="1"/>
  <c r="O496" i="30"/>
  <c r="P496" i="30" s="1"/>
  <c r="O502" i="30"/>
  <c r="P502" i="30" s="1"/>
  <c r="O507" i="30"/>
  <c r="P507" i="30" s="1"/>
  <c r="O512" i="30"/>
  <c r="P512" i="30" s="1"/>
  <c r="O517" i="30"/>
  <c r="P517" i="30" s="1"/>
  <c r="O522" i="30"/>
  <c r="P522" i="30" s="1"/>
  <c r="O473" i="30"/>
  <c r="P473" i="30" s="1"/>
  <c r="O478" i="30"/>
  <c r="P478" i="30" s="1"/>
  <c r="O472" i="30"/>
  <c r="P472" i="30" s="1"/>
  <c r="O477" i="30"/>
  <c r="P477" i="30" s="1"/>
  <c r="O469" i="30"/>
  <c r="P469" i="30" s="1"/>
  <c r="O474" i="30"/>
  <c r="P474" i="30" s="1"/>
  <c r="O479" i="30"/>
  <c r="P479" i="30" s="1"/>
  <c r="A64" i="37"/>
  <c r="G4" i="29"/>
  <c r="I4" i="29"/>
  <c r="G5" i="29"/>
  <c r="I5" i="29"/>
  <c r="G6" i="29"/>
  <c r="I6" i="29"/>
  <c r="G7" i="29"/>
  <c r="I7" i="29"/>
  <c r="G8" i="29"/>
  <c r="I8" i="29"/>
  <c r="G9" i="29"/>
  <c r="I9" i="29"/>
  <c r="G10" i="29"/>
  <c r="I10" i="29"/>
  <c r="G11" i="29"/>
  <c r="I11" i="29"/>
  <c r="G12" i="29"/>
  <c r="I12" i="29"/>
  <c r="G13" i="29"/>
  <c r="I13" i="29"/>
  <c r="G14" i="29"/>
  <c r="I14" i="29"/>
  <c r="G15" i="29"/>
  <c r="I15" i="29"/>
  <c r="G16" i="29"/>
  <c r="I16" i="29"/>
  <c r="G17" i="29"/>
  <c r="I17" i="29"/>
  <c r="G18" i="29"/>
  <c r="I18" i="29"/>
  <c r="G19" i="29"/>
  <c r="I19" i="29"/>
  <c r="G20" i="29"/>
  <c r="I20" i="29"/>
  <c r="G21" i="29"/>
  <c r="I21" i="29"/>
  <c r="G22" i="29"/>
  <c r="I22" i="29"/>
  <c r="G23" i="29"/>
  <c r="I23" i="29"/>
  <c r="G24" i="29"/>
  <c r="I24" i="29"/>
  <c r="G25" i="29"/>
  <c r="I25" i="29"/>
  <c r="G26" i="29"/>
  <c r="I26" i="29"/>
  <c r="G27" i="29"/>
  <c r="I27" i="29"/>
  <c r="G28" i="29"/>
  <c r="I28" i="29"/>
  <c r="G29" i="29"/>
  <c r="I29" i="29"/>
  <c r="G30" i="29"/>
  <c r="I30" i="29"/>
  <c r="G31" i="29"/>
  <c r="I31" i="29"/>
  <c r="I5" i="4" l="1"/>
  <c r="I4" i="4"/>
  <c r="H5" i="4"/>
  <c r="H4" i="4"/>
  <c r="G5" i="4"/>
  <c r="G4" i="4"/>
  <c r="F5" i="4"/>
  <c r="F4" i="4"/>
  <c r="K300" i="30"/>
  <c r="Q300" i="30"/>
  <c r="Q299" i="30"/>
  <c r="K299" i="30"/>
  <c r="Q298" i="30"/>
  <c r="K298" i="30"/>
  <c r="Q297" i="30"/>
  <c r="K297" i="30"/>
  <c r="Q296" i="30"/>
  <c r="K296" i="30"/>
  <c r="Q295" i="30"/>
  <c r="K295" i="30"/>
  <c r="Q294" i="30"/>
  <c r="K294" i="30"/>
  <c r="Q293" i="30"/>
  <c r="K293" i="30"/>
  <c r="Q292" i="30"/>
  <c r="K292" i="30"/>
  <c r="Q291" i="30"/>
  <c r="K291" i="30"/>
  <c r="Q290" i="30"/>
  <c r="K290" i="30"/>
  <c r="Q289" i="30"/>
  <c r="K289" i="30"/>
  <c r="Q288" i="30"/>
  <c r="K288" i="30"/>
  <c r="Q287" i="30"/>
  <c r="K287" i="30"/>
  <c r="Q286" i="30"/>
  <c r="K286" i="30"/>
  <c r="Q285" i="30"/>
  <c r="K285" i="30"/>
  <c r="Q284" i="30"/>
  <c r="K284" i="30"/>
  <c r="Q283" i="30"/>
  <c r="K283" i="30"/>
  <c r="Q282" i="30"/>
  <c r="K282" i="30"/>
  <c r="Q281" i="30"/>
  <c r="K281" i="30"/>
  <c r="Q280" i="30"/>
  <c r="K280" i="30"/>
  <c r="Q279" i="30"/>
  <c r="K279" i="30"/>
  <c r="Q278" i="30"/>
  <c r="K278" i="30"/>
  <c r="Q277" i="30"/>
  <c r="K277" i="30"/>
  <c r="Q276" i="30"/>
  <c r="K276" i="30"/>
  <c r="Q275" i="30"/>
  <c r="K275" i="30"/>
  <c r="Q274" i="30"/>
  <c r="K274" i="30"/>
  <c r="Q273" i="30"/>
  <c r="K273" i="30"/>
  <c r="Q272" i="30"/>
  <c r="K272" i="30"/>
  <c r="Q271" i="30"/>
  <c r="K271" i="30"/>
  <c r="Q270" i="30"/>
  <c r="K270" i="30"/>
  <c r="Q269" i="30"/>
  <c r="K269" i="30"/>
  <c r="Q268" i="30"/>
  <c r="K268" i="30"/>
  <c r="Q267" i="30"/>
  <c r="K267" i="30"/>
  <c r="Q266" i="30"/>
  <c r="K266" i="30"/>
  <c r="Q265" i="30"/>
  <c r="K265" i="30"/>
  <c r="Q264" i="30"/>
  <c r="K264" i="30"/>
  <c r="Q263" i="30"/>
  <c r="K263" i="30"/>
  <c r="Q262" i="30"/>
  <c r="K262" i="30"/>
  <c r="Q261" i="30"/>
  <c r="K261" i="30"/>
  <c r="Q260" i="30"/>
  <c r="K260" i="30"/>
  <c r="Q259" i="30"/>
  <c r="K259" i="30"/>
  <c r="Q258" i="30"/>
  <c r="K258" i="30"/>
  <c r="Q257" i="30"/>
  <c r="K257" i="30"/>
  <c r="Q256" i="30"/>
  <c r="K256" i="30"/>
  <c r="Q255" i="30"/>
  <c r="K255" i="30"/>
  <c r="Q254" i="30"/>
  <c r="K254" i="30"/>
  <c r="Q253" i="30"/>
  <c r="K253" i="30"/>
  <c r="Q252" i="30"/>
  <c r="K252" i="30"/>
  <c r="Q251" i="30"/>
  <c r="K251" i="30"/>
  <c r="Q250" i="30"/>
  <c r="K250" i="30"/>
  <c r="Q249" i="30"/>
  <c r="K249" i="30"/>
  <c r="Q248" i="30"/>
  <c r="K248" i="30"/>
  <c r="Q247" i="30"/>
  <c r="K247" i="30"/>
  <c r="Q246" i="30"/>
  <c r="K246" i="30"/>
  <c r="Q245" i="30"/>
  <c r="K245" i="30"/>
  <c r="Q244" i="30"/>
  <c r="K244" i="30"/>
  <c r="Q243" i="30"/>
  <c r="K243" i="30"/>
  <c r="Q242" i="30"/>
  <c r="K242" i="30"/>
  <c r="Q241" i="30"/>
  <c r="K241" i="30"/>
  <c r="Q240" i="30"/>
  <c r="K240" i="30"/>
  <c r="Q239" i="30"/>
  <c r="K239" i="30"/>
  <c r="Q238" i="30"/>
  <c r="K238" i="30"/>
  <c r="Q237" i="30"/>
  <c r="K237" i="30"/>
  <c r="Q236" i="30"/>
  <c r="K236" i="30"/>
  <c r="Q235" i="30"/>
  <c r="K235" i="30"/>
  <c r="Q234" i="30"/>
  <c r="K234" i="30"/>
  <c r="Q233" i="30"/>
  <c r="K233" i="30"/>
  <c r="Q232" i="30"/>
  <c r="K232" i="30"/>
  <c r="Q231" i="30"/>
  <c r="K231" i="30"/>
  <c r="Q230" i="30"/>
  <c r="K230" i="30"/>
  <c r="Q229" i="30"/>
  <c r="K229" i="30"/>
  <c r="Q228" i="30"/>
  <c r="K228" i="30"/>
  <c r="Q227" i="30"/>
  <c r="K227" i="30"/>
  <c r="Q226" i="30"/>
  <c r="K226" i="30"/>
  <c r="Q225" i="30"/>
  <c r="K225" i="30"/>
  <c r="Q224" i="30"/>
  <c r="K224" i="30"/>
  <c r="Q223" i="30"/>
  <c r="K223" i="30"/>
  <c r="Q222" i="30"/>
  <c r="K222" i="30"/>
  <c r="Q221" i="30"/>
  <c r="K221" i="30"/>
  <c r="Q220" i="30"/>
  <c r="K220" i="30"/>
  <c r="Q219" i="30"/>
  <c r="K219" i="30"/>
  <c r="Q218" i="30"/>
  <c r="K218" i="30"/>
  <c r="Q217" i="30"/>
  <c r="K217" i="30"/>
  <c r="Q216" i="30"/>
  <c r="K216" i="30"/>
  <c r="Q215" i="30"/>
  <c r="K215" i="30"/>
  <c r="Q214" i="30"/>
  <c r="K214" i="30"/>
  <c r="Q213" i="30"/>
  <c r="K213" i="30"/>
  <c r="Q212" i="30"/>
  <c r="K212" i="30"/>
  <c r="Q211" i="30"/>
  <c r="K211" i="30"/>
  <c r="Q210" i="30"/>
  <c r="K210" i="30"/>
  <c r="Q209" i="30"/>
  <c r="K209" i="30"/>
  <c r="Q208" i="30"/>
  <c r="K208" i="30"/>
  <c r="Q207" i="30"/>
  <c r="K207" i="30"/>
  <c r="Q206" i="30"/>
  <c r="K206" i="30"/>
  <c r="Q205" i="30"/>
  <c r="K205" i="30"/>
  <c r="Q204" i="30"/>
  <c r="K204" i="30"/>
  <c r="Q203" i="30"/>
  <c r="K203" i="30"/>
  <c r="Q202" i="30"/>
  <c r="K202" i="30"/>
  <c r="Q201" i="30"/>
  <c r="K201" i="30"/>
  <c r="Q200" i="30"/>
  <c r="K200" i="30"/>
  <c r="Q199" i="30"/>
  <c r="K199" i="30"/>
  <c r="Q198" i="30"/>
  <c r="K198" i="30"/>
  <c r="Q197" i="30"/>
  <c r="K197" i="30"/>
  <c r="Q196" i="30"/>
  <c r="K196" i="30"/>
  <c r="Q195" i="30"/>
  <c r="K195" i="30"/>
  <c r="Q194" i="30"/>
  <c r="K194" i="30"/>
  <c r="Q193" i="30"/>
  <c r="K193" i="30"/>
  <c r="Q192" i="30"/>
  <c r="K192" i="30"/>
  <c r="Q191" i="30"/>
  <c r="K191" i="30"/>
  <c r="Q190" i="30"/>
  <c r="K190" i="30"/>
  <c r="Q189" i="30"/>
  <c r="K189" i="30"/>
  <c r="Q188" i="30"/>
  <c r="K188" i="30"/>
  <c r="Q187" i="30"/>
  <c r="K187" i="30"/>
  <c r="Q186" i="30"/>
  <c r="K186" i="30"/>
  <c r="Q185" i="30"/>
  <c r="K185" i="30"/>
  <c r="Q184" i="30"/>
  <c r="K184" i="30"/>
  <c r="Q183" i="30"/>
  <c r="K183" i="30"/>
  <c r="Q182" i="30"/>
  <c r="K182" i="30"/>
  <c r="Q181" i="30"/>
  <c r="K181" i="30"/>
  <c r="Q180" i="30"/>
  <c r="K180" i="30"/>
  <c r="Q179" i="30"/>
  <c r="K179" i="30"/>
  <c r="Q178" i="30"/>
  <c r="K178" i="30"/>
  <c r="Q177" i="30"/>
  <c r="K177" i="30"/>
  <c r="Q176" i="30"/>
  <c r="K176" i="30"/>
  <c r="Q175" i="30"/>
  <c r="K175" i="30"/>
  <c r="Q174" i="30"/>
  <c r="K174" i="30"/>
  <c r="Q173" i="30"/>
  <c r="K173" i="30"/>
  <c r="Q172" i="30"/>
  <c r="K172" i="30"/>
  <c r="Q171" i="30"/>
  <c r="K171" i="30"/>
  <c r="Q170" i="30"/>
  <c r="K170" i="30"/>
  <c r="K12" i="30"/>
  <c r="Q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8" i="39"/>
  <c r="H17" i="39"/>
  <c r="H16" i="39"/>
  <c r="H15" i="39"/>
  <c r="H14" i="39"/>
  <c r="H12" i="39"/>
  <c r="H11" i="39"/>
  <c r="H10" i="39"/>
  <c r="H9" i="39"/>
  <c r="H8" i="39"/>
  <c r="H7" i="39"/>
  <c r="H6" i="39"/>
  <c r="H3" i="39"/>
  <c r="C5" i="35"/>
  <c r="D5" i="35"/>
  <c r="F5" i="35"/>
  <c r="G5" i="35"/>
  <c r="H5" i="35"/>
  <c r="I5" i="35"/>
  <c r="J5" i="35"/>
  <c r="K5" i="35"/>
  <c r="L5" i="35"/>
  <c r="M5" i="35"/>
  <c r="N5" i="35"/>
  <c r="O5" i="35"/>
  <c r="P5" i="35"/>
  <c r="K4" i="30"/>
  <c r="J14" i="32"/>
  <c r="J15" i="32"/>
  <c r="J16" i="32"/>
  <c r="J17" i="32"/>
  <c r="J18" i="32"/>
  <c r="J19" i="32"/>
  <c r="J20" i="32"/>
  <c r="J21" i="32"/>
  <c r="J22" i="32"/>
  <c r="J23" i="32"/>
  <c r="G3" i="39"/>
  <c r="S3" i="39" s="1"/>
  <c r="BA14" i="20"/>
  <c r="AZ14" i="20"/>
  <c r="AY14" i="20"/>
  <c r="AX14" i="20"/>
  <c r="AW14" i="20"/>
  <c r="AV14" i="20"/>
  <c r="AU14" i="20"/>
  <c r="AT14" i="20"/>
  <c r="AS14" i="20"/>
  <c r="AR14" i="20"/>
  <c r="AQ14" i="20"/>
  <c r="AP14" i="20"/>
  <c r="AO14" i="20"/>
  <c r="AN14" i="20"/>
  <c r="AM14" i="20"/>
  <c r="AL14" i="20"/>
  <c r="AK14" i="20"/>
  <c r="AJ14" i="20"/>
  <c r="AI14" i="20"/>
  <c r="AH14" i="20"/>
  <c r="AG14" i="20"/>
  <c r="H2" i="10"/>
  <c r="H5" i="10" s="1"/>
  <c r="I6" i="27"/>
  <c r="G2" i="10"/>
  <c r="G7" i="10" s="1"/>
  <c r="I5" i="27"/>
  <c r="I4" i="27"/>
  <c r="H2" i="9"/>
  <c r="H7" i="9" s="1"/>
  <c r="G2" i="9"/>
  <c r="G10" i="9" s="1"/>
  <c r="F2" i="10"/>
  <c r="F10" i="10" s="1"/>
  <c r="F2" i="9"/>
  <c r="I3" i="27"/>
  <c r="BR66" i="3"/>
  <c r="K67" i="3" s="1"/>
  <c r="BR45" i="3"/>
  <c r="BR35" i="3"/>
  <c r="BR126" i="3"/>
  <c r="K127" i="3" s="1"/>
  <c r="G41" i="37"/>
  <c r="S11" i="37" s="1"/>
  <c r="G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G63" i="37"/>
  <c r="H63"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K3" i="30"/>
  <c r="K5" i="30"/>
  <c r="K6" i="30"/>
  <c r="K7" i="30"/>
  <c r="K8" i="30"/>
  <c r="K9" i="30"/>
  <c r="K10" i="30"/>
  <c r="K11" i="30"/>
  <c r="G5" i="37"/>
  <c r="G6" i="37"/>
  <c r="G7" i="37"/>
  <c r="G8" i="37"/>
  <c r="G9" i="37"/>
  <c r="G10" i="37"/>
  <c r="G11" i="37"/>
  <c r="G12" i="37"/>
  <c r="G13" i="37"/>
  <c r="G14" i="37"/>
  <c r="G15" i="37"/>
  <c r="H15" i="37"/>
  <c r="G17" i="37"/>
  <c r="G18" i="37"/>
  <c r="G19" i="37"/>
  <c r="G20" i="37"/>
  <c r="G21" i="37"/>
  <c r="H21" i="37"/>
  <c r="G22" i="37"/>
  <c r="G23" i="37"/>
  <c r="G24" i="37"/>
  <c r="G25" i="37"/>
  <c r="G26" i="37"/>
  <c r="G29" i="37"/>
  <c r="G30" i="37"/>
  <c r="G31" i="37"/>
  <c r="G32" i="37"/>
  <c r="G33" i="37"/>
  <c r="G34" i="37"/>
  <c r="G35" i="37"/>
  <c r="G36" i="37"/>
  <c r="G37" i="37"/>
  <c r="H37" i="37"/>
  <c r="G38" i="37"/>
  <c r="H38" i="37"/>
  <c r="G39" i="37"/>
  <c r="H39" i="37"/>
  <c r="G40" i="37"/>
  <c r="H40" i="37"/>
  <c r="K41" i="29"/>
  <c r="S27" i="37"/>
  <c r="S21" i="37"/>
  <c r="S14" i="37"/>
  <c r="T15" i="37"/>
  <c r="T17" i="37"/>
  <c r="T18" i="37"/>
  <c r="T26" i="37"/>
  <c r="S15" i="37"/>
  <c r="S17" i="37"/>
  <c r="S18"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H5" i="37" s="1"/>
  <c r="Q8" i="37"/>
  <c r="R8" i="37" s="1"/>
  <c r="H6" i="37" s="1"/>
  <c r="Q9" i="37"/>
  <c r="R9" i="37" s="1"/>
  <c r="Q10" i="37"/>
  <c r="R10" i="37" s="1"/>
  <c r="H19" i="37" s="1"/>
  <c r="Q11" i="37"/>
  <c r="R11" i="37" s="1"/>
  <c r="H41" i="37" s="1"/>
  <c r="Q12" i="37"/>
  <c r="R12" i="37" s="1"/>
  <c r="H35" i="37" s="1"/>
  <c r="Q13" i="37"/>
  <c r="R13" i="37" s="1"/>
  <c r="H20" i="37" s="1"/>
  <c r="Q14" i="37"/>
  <c r="R14" i="37" s="1"/>
  <c r="H42" i="37" s="1"/>
  <c r="Q15" i="37"/>
  <c r="R15" i="37" s="1"/>
  <c r="Q16" i="37"/>
  <c r="R16" i="37" s="1"/>
  <c r="Q17" i="37"/>
  <c r="R17" i="37" s="1"/>
  <c r="Q18" i="37"/>
  <c r="R18" i="37" s="1"/>
  <c r="Q19" i="37"/>
  <c r="R19" i="37" s="1"/>
  <c r="H9" i="37" s="1"/>
  <c r="Q21" i="37"/>
  <c r="R21" i="37" s="1"/>
  <c r="Q22" i="37"/>
  <c r="R22" i="37" s="1"/>
  <c r="H10" i="37" s="1"/>
  <c r="Q23" i="37"/>
  <c r="R23" i="37" s="1"/>
  <c r="H26" i="37" s="1"/>
  <c r="Q24" i="37"/>
  <c r="R24" i="37" s="1"/>
  <c r="H23" i="37" s="1"/>
  <c r="Q25" i="37"/>
  <c r="R25" i="37" s="1"/>
  <c r="H24" i="37" s="1"/>
  <c r="Q4" i="37"/>
  <c r="R4" i="37" s="1"/>
  <c r="H29"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4" i="29"/>
  <c r="K63" i="29"/>
  <c r="K62" i="29"/>
  <c r="K61" i="29"/>
  <c r="K60" i="29"/>
  <c r="K59" i="29"/>
  <c r="K58" i="29"/>
  <c r="K57" i="29"/>
  <c r="K56" i="29"/>
  <c r="K55" i="29"/>
  <c r="K54" i="29"/>
  <c r="K53" i="29"/>
  <c r="U19" i="29"/>
  <c r="K52" i="29"/>
  <c r="K51" i="29"/>
  <c r="K50" i="29"/>
  <c r="M50" i="29" s="1"/>
  <c r="K49" i="29"/>
  <c r="M49" i="29" s="1"/>
  <c r="K48" i="29"/>
  <c r="K47" i="29"/>
  <c r="M47" i="29" s="1"/>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G12" i="34"/>
  <c r="G11" i="34"/>
  <c r="G10" i="34"/>
  <c r="G9" i="34"/>
  <c r="G8" i="34"/>
  <c r="G7" i="34"/>
  <c r="G6" i="34"/>
  <c r="G5" i="34"/>
  <c r="C23" i="32"/>
  <c r="C22" i="32"/>
  <c r="C21" i="32"/>
  <c r="C20" i="32"/>
  <c r="C19" i="32"/>
  <c r="C18" i="32"/>
  <c r="C17" i="32"/>
  <c r="C16" i="32"/>
  <c r="C15" i="32"/>
  <c r="C14" i="32"/>
  <c r="C13" i="32"/>
  <c r="S6" i="37"/>
  <c r="S9" i="37"/>
  <c r="S16" i="37"/>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2" i="9"/>
  <c r="Z15" i="9" s="1"/>
  <c r="I2" i="9"/>
  <c r="J2" i="9"/>
  <c r="K2" i="9"/>
  <c r="K11" i="9" s="1"/>
  <c r="L2" i="9"/>
  <c r="L6" i="9" s="1"/>
  <c r="M2" i="9"/>
  <c r="M9" i="9" s="1"/>
  <c r="N2" i="9"/>
  <c r="N8" i="9" s="1"/>
  <c r="O2" i="9"/>
  <c r="O6" i="9" s="1"/>
  <c r="P2" i="9"/>
  <c r="P10" i="9" s="1"/>
  <c r="Q2" i="9"/>
  <c r="Q10" i="9" s="1"/>
  <c r="R2" i="9"/>
  <c r="S2" i="9"/>
  <c r="T2" i="9"/>
  <c r="AW2" i="3" s="1"/>
  <c r="U2" i="9"/>
  <c r="U10" i="9" s="1"/>
  <c r="V2" i="9"/>
  <c r="BC2" i="3" s="1"/>
  <c r="W2" i="9"/>
  <c r="BF2" i="3" s="1"/>
  <c r="X2" i="9"/>
  <c r="BI2" i="3" s="1"/>
  <c r="A37" i="14" s="1"/>
  <c r="Y2" i="9"/>
  <c r="BL2" i="3" s="1"/>
  <c r="A72" i="14" s="1"/>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E93" i="28" s="1"/>
  <c r="D88" i="28"/>
  <c r="F88" i="28" s="1"/>
  <c r="D83" i="28"/>
  <c r="F83" i="28" s="1"/>
  <c r="D78" i="28"/>
  <c r="F78" i="28" s="1"/>
  <c r="D73" i="28"/>
  <c r="F73" i="28" s="1"/>
  <c r="D68" i="28"/>
  <c r="F68" i="28" s="1"/>
  <c r="D63" i="28"/>
  <c r="E63" i="28" s="1"/>
  <c r="D58" i="28"/>
  <c r="F58" i="28" s="1"/>
  <c r="D53" i="28"/>
  <c r="F53" i="28" s="1"/>
  <c r="D48" i="28"/>
  <c r="F48" i="28" s="1"/>
  <c r="D43" i="28"/>
  <c r="F43" i="28" s="1"/>
  <c r="D38" i="28"/>
  <c r="F38" i="28" s="1"/>
  <c r="D33" i="28"/>
  <c r="E33" i="28" s="1"/>
  <c r="D28" i="28"/>
  <c r="D23" i="28"/>
  <c r="E23" i="28" s="1"/>
  <c r="D18" i="28"/>
  <c r="F18" i="28" s="1"/>
  <c r="D13" i="28"/>
  <c r="F13" i="28" s="1"/>
  <c r="D8" i="28"/>
  <c r="F8" i="28" s="1"/>
  <c r="D3" i="28"/>
  <c r="F3" i="28" s="1"/>
  <c r="H107" i="28"/>
  <c r="H106" i="28"/>
  <c r="J106" i="28" s="1"/>
  <c r="H105" i="28"/>
  <c r="J105" i="28" s="1"/>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s="1"/>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I11" i="11" s="1"/>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O8" i="10" s="1"/>
  <c r="P2" i="10"/>
  <c r="Q2" i="10"/>
  <c r="Q8" i="10" s="1"/>
  <c r="R2" i="10"/>
  <c r="S2" i="10"/>
  <c r="S9" i="10" s="1"/>
  <c r="T2" i="10"/>
  <c r="U2" i="10"/>
  <c r="U10" i="10" s="1"/>
  <c r="V2" i="10"/>
  <c r="V9" i="10" s="1"/>
  <c r="W2" i="10"/>
  <c r="W5" i="10" s="1"/>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K49" i="30"/>
  <c r="K50" i="30"/>
  <c r="K51" i="30"/>
  <c r="K52"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61" i="30"/>
  <c r="K162" i="30"/>
  <c r="K163" i="30"/>
  <c r="K164" i="30"/>
  <c r="K165" i="30"/>
  <c r="K166" i="30"/>
  <c r="K167" i="30"/>
  <c r="K168" i="30"/>
  <c r="K169" i="30"/>
  <c r="I9" i="27"/>
  <c r="I8" i="27"/>
  <c r="I7" i="27"/>
  <c r="I10" i="27"/>
  <c r="I11" i="27"/>
  <c r="E2" i="36"/>
  <c r="I14" i="32"/>
  <c r="I15" i="32"/>
  <c r="I16" i="32"/>
  <c r="I17" i="32"/>
  <c r="I18" i="32"/>
  <c r="I19" i="32"/>
  <c r="I20" i="32"/>
  <c r="I21" i="32"/>
  <c r="I22" i="32"/>
  <c r="I23" i="32"/>
  <c r="A6" i="35"/>
  <c r="A7" i="35"/>
  <c r="A8" i="35"/>
  <c r="A9" i="35"/>
  <c r="A10" i="35"/>
  <c r="A11" i="35"/>
  <c r="A12" i="35"/>
  <c r="A13" i="35"/>
  <c r="A14" i="35"/>
  <c r="A15" i="35"/>
  <c r="A16" i="35"/>
  <c r="A17" i="35"/>
  <c r="A18" i="35"/>
  <c r="A19" i="35"/>
  <c r="A20" i="35"/>
  <c r="A21" i="35"/>
  <c r="A22" i="35"/>
  <c r="A23" i="35"/>
  <c r="A24" i="35"/>
  <c r="A25" i="35"/>
  <c r="A26" i="35"/>
  <c r="E23" i="32" s="1"/>
  <c r="F21" i="36"/>
  <c r="F20" i="36"/>
  <c r="F19" i="36"/>
  <c r="F18" i="36"/>
  <c r="F17" i="36"/>
  <c r="F16" i="36"/>
  <c r="F15" i="36"/>
  <c r="F14" i="36"/>
  <c r="F13" i="36"/>
  <c r="F12" i="36"/>
  <c r="F11" i="36"/>
  <c r="F10" i="36"/>
  <c r="F9" i="36"/>
  <c r="F8" i="36"/>
  <c r="F7" i="36"/>
  <c r="F6" i="36"/>
  <c r="I13" i="32" s="1"/>
  <c r="F5" i="36"/>
  <c r="F4" i="36"/>
  <c r="I12" i="32" s="1"/>
  <c r="F3" i="36"/>
  <c r="I11" i="32" s="1"/>
  <c r="F2" i="36"/>
  <c r="I3" i="32" s="1"/>
  <c r="Q4" i="30"/>
  <c r="Q5" i="30"/>
  <c r="Q6" i="30"/>
  <c r="Q7" i="30"/>
  <c r="Q8" i="30"/>
  <c r="Q9" i="30"/>
  <c r="Q10" i="30"/>
  <c r="Q11" i="30"/>
  <c r="Q13" i="30"/>
  <c r="Q14" i="30"/>
  <c r="Q15" i="30"/>
  <c r="Q16" i="30"/>
  <c r="Q17"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169" i="30"/>
  <c r="Q3" i="30"/>
  <c r="D8" i="1"/>
  <c r="AB79" i="3" s="1"/>
  <c r="AB82" i="3"/>
  <c r="AB126" i="3"/>
  <c r="AB127" i="3"/>
  <c r="AB128" i="3"/>
  <c r="AB129" i="3"/>
  <c r="AB130" i="3"/>
  <c r="AB131" i="3"/>
  <c r="AB132" i="3"/>
  <c r="AB133" i="3"/>
  <c r="AB134" i="3"/>
  <c r="AB135" i="3"/>
  <c r="Y126" i="3"/>
  <c r="Y127" i="3"/>
  <c r="Y128" i="3"/>
  <c r="Y129" i="3"/>
  <c r="Y130" i="3"/>
  <c r="Y131" i="3"/>
  <c r="Y132" i="3"/>
  <c r="Y133" i="3"/>
  <c r="Y134" i="3"/>
  <c r="Y135" i="3"/>
  <c r="V126" i="3"/>
  <c r="V127" i="3"/>
  <c r="V128" i="3"/>
  <c r="V129" i="3"/>
  <c r="V130" i="3"/>
  <c r="V131" i="3"/>
  <c r="V132" i="3"/>
  <c r="V133" i="3"/>
  <c r="V134" i="3"/>
  <c r="V135" i="3"/>
  <c r="S85" i="3"/>
  <c r="S126" i="3"/>
  <c r="S127" i="3"/>
  <c r="S128" i="3"/>
  <c r="S129" i="3"/>
  <c r="S130" i="3"/>
  <c r="S131" i="3"/>
  <c r="S132" i="3"/>
  <c r="S133" i="3"/>
  <c r="S134" i="3"/>
  <c r="S135" i="3"/>
  <c r="P82" i="3"/>
  <c r="P126" i="3"/>
  <c r="P127" i="3"/>
  <c r="P128" i="3"/>
  <c r="P129" i="3"/>
  <c r="P130" i="3"/>
  <c r="P131" i="3"/>
  <c r="P132" i="3"/>
  <c r="P133" i="3"/>
  <c r="P134" i="3"/>
  <c r="P135" i="3"/>
  <c r="M126" i="3"/>
  <c r="M127" i="3"/>
  <c r="M128" i="3"/>
  <c r="M129" i="3"/>
  <c r="M130" i="3"/>
  <c r="M131" i="3"/>
  <c r="M132" i="3"/>
  <c r="M133" i="3"/>
  <c r="M134" i="3"/>
  <c r="M135" i="3"/>
  <c r="J126" i="3"/>
  <c r="J127" i="3"/>
  <c r="J128" i="3"/>
  <c r="J129" i="3"/>
  <c r="J130" i="3"/>
  <c r="J131" i="3"/>
  <c r="J132" i="3"/>
  <c r="J133" i="3"/>
  <c r="J134" i="3"/>
  <c r="J135" i="3"/>
  <c r="AC116" i="3"/>
  <c r="AC117" i="3"/>
  <c r="AC118" i="3"/>
  <c r="AC119" i="3"/>
  <c r="AC120" i="3"/>
  <c r="AC121" i="3"/>
  <c r="AC122" i="3"/>
  <c r="AC123" i="3"/>
  <c r="AC124" i="3"/>
  <c r="AC125" i="3"/>
  <c r="AD125" i="3" s="1"/>
  <c r="AB116" i="3"/>
  <c r="AB117" i="3"/>
  <c r="AB118" i="3"/>
  <c r="AB119" i="3"/>
  <c r="AB120" i="3"/>
  <c r="AD120" i="3" s="1"/>
  <c r="AB121" i="3"/>
  <c r="AB122" i="3"/>
  <c r="AB123" i="3"/>
  <c r="AB124" i="3"/>
  <c r="AB125" i="3"/>
  <c r="Z116" i="3"/>
  <c r="Y116" i="3"/>
  <c r="Z117" i="3"/>
  <c r="AA117" i="3" s="1"/>
  <c r="Y117" i="3"/>
  <c r="Z118" i="3"/>
  <c r="Y118" i="3"/>
  <c r="Z119" i="3"/>
  <c r="Y119" i="3"/>
  <c r="Z120" i="3"/>
  <c r="Y120" i="3"/>
  <c r="Z121" i="3"/>
  <c r="Y121" i="3"/>
  <c r="Z122" i="3"/>
  <c r="AA122" i="3" s="1"/>
  <c r="Y122" i="3"/>
  <c r="Z123" i="3"/>
  <c r="Y123" i="3"/>
  <c r="Z124" i="3"/>
  <c r="Y124" i="3"/>
  <c r="Z125" i="3"/>
  <c r="Y125" i="3"/>
  <c r="W116" i="3"/>
  <c r="V116" i="3"/>
  <c r="X116" i="3"/>
  <c r="W117" i="3"/>
  <c r="V117" i="3"/>
  <c r="W118" i="3"/>
  <c r="V118" i="3"/>
  <c r="W119" i="3"/>
  <c r="V119" i="3"/>
  <c r="W120" i="3"/>
  <c r="V120" i="3"/>
  <c r="W121" i="3"/>
  <c r="X121" i="3" s="1"/>
  <c r="V121" i="3"/>
  <c r="W122" i="3"/>
  <c r="V122" i="3"/>
  <c r="W123" i="3"/>
  <c r="V123" i="3"/>
  <c r="W124" i="3"/>
  <c r="V124" i="3"/>
  <c r="W125" i="3"/>
  <c r="X125" i="3" s="1"/>
  <c r="V125" i="3"/>
  <c r="T116" i="3"/>
  <c r="S116" i="3"/>
  <c r="T117" i="3"/>
  <c r="S117" i="3"/>
  <c r="T118" i="3"/>
  <c r="S118" i="3"/>
  <c r="U118" i="3" s="1"/>
  <c r="T119" i="3"/>
  <c r="S119" i="3"/>
  <c r="T120" i="3"/>
  <c r="S120" i="3"/>
  <c r="T121" i="3"/>
  <c r="S121" i="3"/>
  <c r="T122" i="3"/>
  <c r="S122" i="3"/>
  <c r="T123" i="3"/>
  <c r="U123" i="3" s="1"/>
  <c r="S123" i="3"/>
  <c r="T124" i="3"/>
  <c r="S124" i="3"/>
  <c r="T125" i="3"/>
  <c r="S125" i="3"/>
  <c r="U125" i="3" s="1"/>
  <c r="Q116" i="3"/>
  <c r="P116" i="3"/>
  <c r="Q117" i="3"/>
  <c r="R117" i="3" s="1"/>
  <c r="P117" i="3"/>
  <c r="Q118" i="3"/>
  <c r="P118" i="3"/>
  <c r="Q119" i="3"/>
  <c r="P119" i="3"/>
  <c r="Q120" i="3"/>
  <c r="P120" i="3"/>
  <c r="R120" i="3" s="1"/>
  <c r="Q121" i="3"/>
  <c r="P121" i="3"/>
  <c r="Q122" i="3"/>
  <c r="P122" i="3"/>
  <c r="Q123" i="3"/>
  <c r="P123" i="3"/>
  <c r="Q124" i="3"/>
  <c r="P124" i="3"/>
  <c r="R124" i="3" s="1"/>
  <c r="Q125" i="3"/>
  <c r="P125" i="3"/>
  <c r="N116" i="3"/>
  <c r="M116" i="3"/>
  <c r="N117" i="3"/>
  <c r="M117" i="3"/>
  <c r="N118" i="3"/>
  <c r="O118" i="3" s="1"/>
  <c r="M118" i="3"/>
  <c r="N119" i="3"/>
  <c r="M119" i="3"/>
  <c r="N120" i="3"/>
  <c r="O120" i="3" s="1"/>
  <c r="M120" i="3"/>
  <c r="N121" i="3"/>
  <c r="M121" i="3"/>
  <c r="N122" i="3"/>
  <c r="M122" i="3"/>
  <c r="N123" i="3"/>
  <c r="M123" i="3"/>
  <c r="N124" i="3"/>
  <c r="M124" i="3"/>
  <c r="N125" i="3"/>
  <c r="M125" i="3"/>
  <c r="O125" i="3" s="1"/>
  <c r="K116" i="3"/>
  <c r="J116" i="3"/>
  <c r="K117" i="3"/>
  <c r="J117" i="3"/>
  <c r="K118" i="3"/>
  <c r="J118" i="3"/>
  <c r="K119" i="3"/>
  <c r="J119" i="3"/>
  <c r="K120" i="3"/>
  <c r="L120" i="3" s="1"/>
  <c r="J120" i="3"/>
  <c r="K121" i="3"/>
  <c r="J121" i="3"/>
  <c r="K122" i="3"/>
  <c r="J122" i="3"/>
  <c r="L122" i="3"/>
  <c r="K123" i="3"/>
  <c r="L123" i="3" s="1"/>
  <c r="J123" i="3"/>
  <c r="K124" i="3"/>
  <c r="J124" i="3"/>
  <c r="K125" i="3"/>
  <c r="J125" i="3"/>
  <c r="H116" i="3"/>
  <c r="G116" i="3"/>
  <c r="H117" i="3"/>
  <c r="G117" i="3"/>
  <c r="H118" i="3"/>
  <c r="G118" i="3"/>
  <c r="H119" i="3"/>
  <c r="G119" i="3"/>
  <c r="H120" i="3"/>
  <c r="G120" i="3"/>
  <c r="H121" i="3"/>
  <c r="G121" i="3"/>
  <c r="H122" i="3"/>
  <c r="G122" i="3"/>
  <c r="H123" i="3"/>
  <c r="I123" i="3" s="1"/>
  <c r="G123" i="3"/>
  <c r="H124" i="3"/>
  <c r="G124" i="3"/>
  <c r="H125" i="3"/>
  <c r="G125"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s="1"/>
  <c r="J171" i="9"/>
  <c r="I14" i="20" s="1"/>
  <c r="I171" i="9"/>
  <c r="H14" i="20" s="1"/>
  <c r="H171" i="9"/>
  <c r="G14" i="20" s="1"/>
  <c r="G171" i="9"/>
  <c r="F14" i="20" s="1"/>
  <c r="F171" i="9"/>
  <c r="E14" i="20"/>
  <c r="AC106" i="3"/>
  <c r="AC107" i="3"/>
  <c r="AC108" i="3"/>
  <c r="AC109" i="3"/>
  <c r="AD109" i="3" s="1"/>
  <c r="AC110" i="3"/>
  <c r="AD110" i="3" s="1"/>
  <c r="AC111" i="3"/>
  <c r="AC112" i="3"/>
  <c r="AC113" i="3"/>
  <c r="AC114" i="3"/>
  <c r="AC115" i="3"/>
  <c r="AB106" i="3"/>
  <c r="AB107" i="3"/>
  <c r="AD107" i="3" s="1"/>
  <c r="AB108" i="3"/>
  <c r="AD108" i="3" s="1"/>
  <c r="AB109" i="3"/>
  <c r="AB110" i="3"/>
  <c r="AB111" i="3"/>
  <c r="AD111" i="3" s="1"/>
  <c r="AB112" i="3"/>
  <c r="AB113" i="3"/>
  <c r="AB114" i="3"/>
  <c r="AB115" i="3"/>
  <c r="Z106" i="3"/>
  <c r="Y106" i="3"/>
  <c r="Z107" i="3"/>
  <c r="Y107" i="3"/>
  <c r="AA107" i="3" s="1"/>
  <c r="Z108" i="3"/>
  <c r="Y108" i="3"/>
  <c r="Z109" i="3"/>
  <c r="Y109" i="3"/>
  <c r="AA109" i="3" s="1"/>
  <c r="Z110" i="3"/>
  <c r="AA110" i="3" s="1"/>
  <c r="Y110" i="3"/>
  <c r="Z111" i="3"/>
  <c r="Y111" i="3"/>
  <c r="AA111" i="3" s="1"/>
  <c r="Z112" i="3"/>
  <c r="Y112" i="3"/>
  <c r="Z113" i="3"/>
  <c r="Y113" i="3"/>
  <c r="AA113" i="3" s="1"/>
  <c r="Z114" i="3"/>
  <c r="Y114" i="3"/>
  <c r="Z115" i="3"/>
  <c r="Y115" i="3"/>
  <c r="W106" i="3"/>
  <c r="V106" i="3"/>
  <c r="W107" i="3"/>
  <c r="V107" i="3"/>
  <c r="W108" i="3"/>
  <c r="V108" i="3"/>
  <c r="W109" i="3"/>
  <c r="V109" i="3"/>
  <c r="W110" i="3"/>
  <c r="V110" i="3"/>
  <c r="W111" i="3"/>
  <c r="V111" i="3"/>
  <c r="W112" i="3"/>
  <c r="V112" i="3"/>
  <c r="W113" i="3"/>
  <c r="V113" i="3"/>
  <c r="X113" i="3" s="1"/>
  <c r="W114" i="3"/>
  <c r="V114" i="3"/>
  <c r="W115" i="3"/>
  <c r="V115" i="3"/>
  <c r="X115" i="3" s="1"/>
  <c r="T106" i="3"/>
  <c r="S106" i="3"/>
  <c r="T107" i="3"/>
  <c r="S107" i="3"/>
  <c r="T108" i="3"/>
  <c r="S108" i="3"/>
  <c r="T109" i="3"/>
  <c r="S109" i="3"/>
  <c r="T110" i="3"/>
  <c r="S110" i="3"/>
  <c r="T111" i="3"/>
  <c r="U111" i="3" s="1"/>
  <c r="S111" i="3"/>
  <c r="T112" i="3"/>
  <c r="S112" i="3"/>
  <c r="U112" i="3"/>
  <c r="T113" i="3"/>
  <c r="S113" i="3"/>
  <c r="T114" i="3"/>
  <c r="S114" i="3"/>
  <c r="T115" i="3"/>
  <c r="S115" i="3"/>
  <c r="Q106" i="3"/>
  <c r="P106" i="3"/>
  <c r="Q107" i="3"/>
  <c r="P107" i="3"/>
  <c r="Q108" i="3"/>
  <c r="P108" i="3"/>
  <c r="Q109" i="3"/>
  <c r="P109" i="3"/>
  <c r="Q110" i="3"/>
  <c r="P110" i="3"/>
  <c r="L4" i="20" s="1"/>
  <c r="Q111" i="3"/>
  <c r="P111" i="3"/>
  <c r="Q112" i="3"/>
  <c r="R112" i="3" s="1"/>
  <c r="P112" i="3"/>
  <c r="Q113" i="3"/>
  <c r="P113" i="3"/>
  <c r="Q114" i="3"/>
  <c r="P114" i="3"/>
  <c r="Q115" i="3"/>
  <c r="P115" i="3"/>
  <c r="N106" i="3"/>
  <c r="M106" i="3"/>
  <c r="N107" i="3"/>
  <c r="M107" i="3"/>
  <c r="N108" i="3"/>
  <c r="O108" i="3" s="1"/>
  <c r="M108" i="3"/>
  <c r="N109" i="3"/>
  <c r="M109" i="3"/>
  <c r="N110" i="3"/>
  <c r="M110" i="3"/>
  <c r="N111" i="3"/>
  <c r="M111" i="3"/>
  <c r="N112" i="3"/>
  <c r="M112" i="3"/>
  <c r="N113" i="3"/>
  <c r="M113" i="3"/>
  <c r="O113" i="3" s="1"/>
  <c r="N114" i="3"/>
  <c r="M114" i="3"/>
  <c r="O114" i="3"/>
  <c r="N115" i="3"/>
  <c r="O115" i="3" s="1"/>
  <c r="M115" i="3"/>
  <c r="K106" i="3"/>
  <c r="J106" i="3"/>
  <c r="K107" i="3"/>
  <c r="J107" i="3"/>
  <c r="L107" i="3" s="1"/>
  <c r="K108" i="3"/>
  <c r="J108" i="3"/>
  <c r="K109" i="3"/>
  <c r="J109" i="3"/>
  <c r="K110" i="3"/>
  <c r="J110" i="3"/>
  <c r="K111" i="3"/>
  <c r="J111" i="3"/>
  <c r="K112" i="3"/>
  <c r="J112" i="3"/>
  <c r="K113" i="3"/>
  <c r="J113" i="3"/>
  <c r="K114" i="3"/>
  <c r="J114" i="3"/>
  <c r="K115" i="3"/>
  <c r="J115" i="3"/>
  <c r="H106" i="3"/>
  <c r="G106" i="3"/>
  <c r="H107" i="3"/>
  <c r="G107" i="3"/>
  <c r="H108" i="3"/>
  <c r="G108" i="3"/>
  <c r="I108" i="3" s="1"/>
  <c r="H109" i="3"/>
  <c r="G109" i="3"/>
  <c r="H110" i="3"/>
  <c r="G110" i="3"/>
  <c r="H111" i="3"/>
  <c r="I111" i="3" s="1"/>
  <c r="G111" i="3"/>
  <c r="H112" i="3"/>
  <c r="G112" i="3"/>
  <c r="H113" i="3"/>
  <c r="G113" i="3"/>
  <c r="H114" i="3"/>
  <c r="G114" i="3"/>
  <c r="H115"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M125" i="3"/>
  <c r="AK125" i="3"/>
  <c r="AO125" i="3"/>
  <c r="AN125" i="3"/>
  <c r="AR125" i="3"/>
  <c r="AQ125" i="3"/>
  <c r="AU125" i="3"/>
  <c r="AT125" i="3"/>
  <c r="AV125" i="3" s="1"/>
  <c r="AX125" i="3"/>
  <c r="AY125" i="3" s="1"/>
  <c r="AW125" i="3"/>
  <c r="BA125" i="3"/>
  <c r="AZ125" i="3"/>
  <c r="BB125" i="3"/>
  <c r="BD125" i="3"/>
  <c r="BC125" i="3"/>
  <c r="BG125" i="3"/>
  <c r="BH125" i="3"/>
  <c r="BF125" i="3"/>
  <c r="BJ125" i="3"/>
  <c r="BI125" i="3"/>
  <c r="BM125" i="3"/>
  <c r="BN125" i="3" s="1"/>
  <c r="BL125" i="3"/>
  <c r="BP125" i="3"/>
  <c r="BO125" i="3"/>
  <c r="AF124" i="3"/>
  <c r="AG124" i="3" s="1"/>
  <c r="AE124" i="3"/>
  <c r="AI124" i="3"/>
  <c r="AH124" i="3"/>
  <c r="AJ124" i="3" s="1"/>
  <c r="AL124" i="3"/>
  <c r="AK124" i="3"/>
  <c r="AO124" i="3"/>
  <c r="AN124" i="3"/>
  <c r="AR124" i="3"/>
  <c r="AQ124" i="3"/>
  <c r="AU124" i="3"/>
  <c r="AT124" i="3"/>
  <c r="AX124" i="3"/>
  <c r="AW124" i="3"/>
  <c r="BA124" i="3"/>
  <c r="AZ124" i="3"/>
  <c r="BD124" i="3"/>
  <c r="BE124" i="3" s="1"/>
  <c r="BC124" i="3"/>
  <c r="BG124" i="3"/>
  <c r="BF124" i="3"/>
  <c r="BJ124" i="3"/>
  <c r="BI124" i="3"/>
  <c r="BM124" i="3"/>
  <c r="BL124" i="3"/>
  <c r="BN124" i="3" s="1"/>
  <c r="BP124" i="3"/>
  <c r="BQ124" i="3" s="1"/>
  <c r="BO124" i="3"/>
  <c r="AF123" i="3"/>
  <c r="AE123" i="3"/>
  <c r="AI123" i="3"/>
  <c r="AH123" i="3"/>
  <c r="AL123" i="3"/>
  <c r="AK123" i="3"/>
  <c r="AO123" i="3"/>
  <c r="AN123" i="3"/>
  <c r="AR123" i="3"/>
  <c r="AQ123" i="3"/>
  <c r="AU123" i="3"/>
  <c r="AT123" i="3"/>
  <c r="AX123" i="3"/>
  <c r="AW123" i="3"/>
  <c r="BA123" i="3"/>
  <c r="AZ123" i="3"/>
  <c r="BD123" i="3"/>
  <c r="BC123" i="3"/>
  <c r="BE123" i="3" s="1"/>
  <c r="BG123" i="3"/>
  <c r="BF123" i="3"/>
  <c r="BH123" i="3" s="1"/>
  <c r="BJ123" i="3"/>
  <c r="BI123" i="3"/>
  <c r="BM123" i="3"/>
  <c r="BL123" i="3"/>
  <c r="BP123" i="3"/>
  <c r="BO123" i="3"/>
  <c r="AF122" i="3"/>
  <c r="AE122" i="3"/>
  <c r="AI122" i="3"/>
  <c r="AH122" i="3"/>
  <c r="AL122" i="3"/>
  <c r="AK122" i="3"/>
  <c r="AO122" i="3"/>
  <c r="AN122" i="3"/>
  <c r="AR122" i="3"/>
  <c r="AQ122" i="3"/>
  <c r="AU122" i="3"/>
  <c r="AT122" i="3"/>
  <c r="AV122" i="3" s="1"/>
  <c r="AX122" i="3"/>
  <c r="AW122" i="3"/>
  <c r="BA122" i="3"/>
  <c r="AZ122" i="3"/>
  <c r="BD122" i="3"/>
  <c r="BC122" i="3"/>
  <c r="BG122" i="3"/>
  <c r="BF122" i="3"/>
  <c r="BJ122" i="3"/>
  <c r="BI122" i="3"/>
  <c r="BM122" i="3"/>
  <c r="BL122" i="3"/>
  <c r="BP122" i="3"/>
  <c r="BO122" i="3"/>
  <c r="AF121" i="3"/>
  <c r="AE121" i="3"/>
  <c r="AI121" i="3"/>
  <c r="AH121" i="3"/>
  <c r="AL121" i="3"/>
  <c r="AM121" i="3" s="1"/>
  <c r="AK121" i="3"/>
  <c r="AO121" i="3"/>
  <c r="AN121" i="3"/>
  <c r="AP121" i="3" s="1"/>
  <c r="AR121" i="3"/>
  <c r="AQ121" i="3"/>
  <c r="AU121" i="3"/>
  <c r="AV121" i="3"/>
  <c r="AT121" i="3"/>
  <c r="AX121" i="3"/>
  <c r="AW121" i="3"/>
  <c r="BA121" i="3"/>
  <c r="BB121" i="3" s="1"/>
  <c r="AZ121" i="3"/>
  <c r="BD121" i="3"/>
  <c r="BC121" i="3"/>
  <c r="BG121" i="3"/>
  <c r="BF121" i="3"/>
  <c r="BH121" i="3" s="1"/>
  <c r="BJ121" i="3"/>
  <c r="BI121" i="3"/>
  <c r="BM121" i="3"/>
  <c r="BL121" i="3"/>
  <c r="BP121" i="3"/>
  <c r="BO121" i="3"/>
  <c r="AF120" i="3"/>
  <c r="AE120" i="3"/>
  <c r="AI120" i="3"/>
  <c r="AH120" i="3"/>
  <c r="AL120" i="3"/>
  <c r="AK120" i="3"/>
  <c r="AO120" i="3"/>
  <c r="AN120" i="3"/>
  <c r="AR120" i="3"/>
  <c r="AQ120" i="3"/>
  <c r="AU120" i="3"/>
  <c r="AT120" i="3"/>
  <c r="AV120" i="3" s="1"/>
  <c r="AX120" i="3"/>
  <c r="AW120" i="3"/>
  <c r="BA120" i="3"/>
  <c r="AZ120" i="3"/>
  <c r="BD120" i="3"/>
  <c r="BC120" i="3"/>
  <c r="BE120" i="3" s="1"/>
  <c r="BG120" i="3"/>
  <c r="BH120" i="3" s="1"/>
  <c r="BF120" i="3"/>
  <c r="BJ120" i="3"/>
  <c r="BI120" i="3"/>
  <c r="BM120" i="3"/>
  <c r="BN120" i="3" s="1"/>
  <c r="BL120" i="3"/>
  <c r="BP120" i="3"/>
  <c r="BO120" i="3"/>
  <c r="AF119" i="3"/>
  <c r="AG119" i="3" s="1"/>
  <c r="AE119" i="3"/>
  <c r="AI119" i="3"/>
  <c r="AH119" i="3"/>
  <c r="AL119" i="3"/>
  <c r="AK119" i="3"/>
  <c r="AM119" i="3"/>
  <c r="AO119" i="3"/>
  <c r="AN119" i="3"/>
  <c r="AR119" i="3"/>
  <c r="AQ119" i="3"/>
  <c r="AS119" i="3" s="1"/>
  <c r="AU119" i="3"/>
  <c r="AT119" i="3"/>
  <c r="AV119" i="3" s="1"/>
  <c r="AX119" i="3"/>
  <c r="AW119" i="3"/>
  <c r="BA119" i="3"/>
  <c r="AZ119" i="3"/>
  <c r="BD119" i="3"/>
  <c r="BC119" i="3"/>
  <c r="BE119" i="3" s="1"/>
  <c r="BG119" i="3"/>
  <c r="BF119" i="3"/>
  <c r="BH119" i="3" s="1"/>
  <c r="BJ119" i="3"/>
  <c r="BI119" i="3"/>
  <c r="BM119" i="3"/>
  <c r="BN119" i="3" s="1"/>
  <c r="BL119" i="3"/>
  <c r="BP119" i="3"/>
  <c r="BO119" i="3"/>
  <c r="AF118" i="3"/>
  <c r="AE118" i="3"/>
  <c r="AI118" i="3"/>
  <c r="AH118" i="3"/>
  <c r="AL118" i="3"/>
  <c r="AM118" i="3" s="1"/>
  <c r="AK118" i="3"/>
  <c r="AO118" i="3"/>
  <c r="AN118" i="3"/>
  <c r="AP118" i="3" s="1"/>
  <c r="AR118" i="3"/>
  <c r="AQ118" i="3"/>
  <c r="AU118" i="3"/>
  <c r="AT118" i="3"/>
  <c r="AX118" i="3"/>
  <c r="AY118" i="3" s="1"/>
  <c r="AW118" i="3"/>
  <c r="BA118" i="3"/>
  <c r="BB118" i="3" s="1"/>
  <c r="AZ118" i="3"/>
  <c r="BD118" i="3"/>
  <c r="BC118" i="3"/>
  <c r="BG118" i="3"/>
  <c r="BF118" i="3"/>
  <c r="BJ118" i="3"/>
  <c r="BI118" i="3"/>
  <c r="BM118" i="3"/>
  <c r="BL118" i="3"/>
  <c r="BP118" i="3"/>
  <c r="BO118" i="3"/>
  <c r="BQ118" i="3" s="1"/>
  <c r="AD117" i="3"/>
  <c r="AF117" i="3"/>
  <c r="AG117" i="3" s="1"/>
  <c r="AE117" i="3"/>
  <c r="AI117" i="3"/>
  <c r="AH117" i="3"/>
  <c r="AL117" i="3"/>
  <c r="AK117" i="3"/>
  <c r="AO117" i="3"/>
  <c r="AN117" i="3"/>
  <c r="AR117" i="3"/>
  <c r="AQ117" i="3"/>
  <c r="AS117" i="3"/>
  <c r="AU117" i="3"/>
  <c r="AT117" i="3"/>
  <c r="AX117" i="3"/>
  <c r="AW117" i="3"/>
  <c r="BA117" i="3"/>
  <c r="BB117" i="3" s="1"/>
  <c r="AZ117" i="3"/>
  <c r="BD117" i="3"/>
  <c r="BC117" i="3"/>
  <c r="BG117" i="3"/>
  <c r="BF117" i="3"/>
  <c r="BH117" i="3" s="1"/>
  <c r="BJ117" i="3"/>
  <c r="BI117" i="3"/>
  <c r="BM117" i="3"/>
  <c r="BL117" i="3"/>
  <c r="BN117" i="3" s="1"/>
  <c r="BP117" i="3"/>
  <c r="BO117" i="3"/>
  <c r="AF116" i="3"/>
  <c r="AE116" i="3"/>
  <c r="AG116" i="3" s="1"/>
  <c r="AI116" i="3"/>
  <c r="AJ116" i="3" s="1"/>
  <c r="AH116" i="3"/>
  <c r="AL116" i="3"/>
  <c r="AK116" i="3"/>
  <c r="AM116" i="3" s="1"/>
  <c r="AO116" i="3"/>
  <c r="AN116" i="3"/>
  <c r="AR116" i="3"/>
  <c r="AQ116" i="3"/>
  <c r="AU116" i="3"/>
  <c r="AT116" i="3"/>
  <c r="AX116" i="3"/>
  <c r="AW116" i="3"/>
  <c r="BA116" i="3"/>
  <c r="BB116" i="3" s="1"/>
  <c r="AZ116" i="3"/>
  <c r="BD116" i="3"/>
  <c r="BC116" i="3"/>
  <c r="BG116" i="3"/>
  <c r="BH116" i="3" s="1"/>
  <c r="BF116" i="3"/>
  <c r="BJ116" i="3"/>
  <c r="BI116" i="3"/>
  <c r="BM116" i="3"/>
  <c r="BL116" i="3"/>
  <c r="BP116" i="3"/>
  <c r="BO116" i="3"/>
  <c r="AF115" i="3"/>
  <c r="AI115" i="3"/>
  <c r="AL115" i="3"/>
  <c r="AO115" i="3"/>
  <c r="AR115" i="3"/>
  <c r="AU115" i="3"/>
  <c r="AX115" i="3"/>
  <c r="BA115" i="3"/>
  <c r="BB115" i="3" s="1"/>
  <c r="BD115" i="3"/>
  <c r="BG115" i="3"/>
  <c r="BJ115" i="3"/>
  <c r="BM115" i="3"/>
  <c r="BP115" i="3"/>
  <c r="AE115" i="3"/>
  <c r="AH115" i="3"/>
  <c r="AK115" i="3"/>
  <c r="AN115" i="3"/>
  <c r="AQ115" i="3"/>
  <c r="AT115" i="3"/>
  <c r="AW115" i="3"/>
  <c r="AY115" i="3" s="1"/>
  <c r="AZ115" i="3"/>
  <c r="BC115" i="3"/>
  <c r="BF115" i="3"/>
  <c r="BI115" i="3"/>
  <c r="BL115" i="3"/>
  <c r="BO115" i="3"/>
  <c r="AF114" i="3"/>
  <c r="AI114" i="3"/>
  <c r="AL114" i="3"/>
  <c r="AO114" i="3"/>
  <c r="AR114" i="3"/>
  <c r="AU114" i="3"/>
  <c r="AX114" i="3"/>
  <c r="AY114" i="3" s="1"/>
  <c r="BA114" i="3"/>
  <c r="BD114" i="3"/>
  <c r="BG114" i="3"/>
  <c r="BJ114" i="3"/>
  <c r="BM114" i="3"/>
  <c r="BP114" i="3"/>
  <c r="AE114" i="3"/>
  <c r="AH114" i="3"/>
  <c r="AK114" i="3"/>
  <c r="AN114" i="3"/>
  <c r="AQ114" i="3"/>
  <c r="AT114" i="3"/>
  <c r="AW114" i="3"/>
  <c r="AZ114" i="3"/>
  <c r="BC114" i="3"/>
  <c r="BF114" i="3"/>
  <c r="BI114" i="3"/>
  <c r="BL114" i="3"/>
  <c r="BO114" i="3"/>
  <c r="AF113" i="3"/>
  <c r="AI113" i="3"/>
  <c r="AL113" i="3"/>
  <c r="AO113" i="3"/>
  <c r="AP113" i="3" s="1"/>
  <c r="AR113" i="3"/>
  <c r="AU113" i="3"/>
  <c r="AX113" i="3"/>
  <c r="BA113" i="3"/>
  <c r="BD113" i="3"/>
  <c r="BG113" i="3"/>
  <c r="BJ113" i="3"/>
  <c r="BM113" i="3"/>
  <c r="BP113" i="3"/>
  <c r="AE113" i="3"/>
  <c r="AH113" i="3"/>
  <c r="AK113" i="3"/>
  <c r="AN113" i="3"/>
  <c r="AQ113" i="3"/>
  <c r="AT113" i="3"/>
  <c r="AW113" i="3"/>
  <c r="AY113" i="3" s="1"/>
  <c r="AZ113" i="3"/>
  <c r="BC113" i="3"/>
  <c r="BF113" i="3"/>
  <c r="BI113" i="3"/>
  <c r="BK113" i="3" s="1"/>
  <c r="BL113" i="3"/>
  <c r="BO113" i="3"/>
  <c r="AF112" i="3"/>
  <c r="AI112" i="3"/>
  <c r="AL112" i="3"/>
  <c r="AO112" i="3"/>
  <c r="AR112" i="3"/>
  <c r="AU112" i="3"/>
  <c r="AX112" i="3"/>
  <c r="BA112" i="3"/>
  <c r="BD112" i="3"/>
  <c r="BG112" i="3"/>
  <c r="BH112" i="3" s="1"/>
  <c r="BJ112" i="3"/>
  <c r="BM112" i="3"/>
  <c r="BP112" i="3"/>
  <c r="AE112" i="3"/>
  <c r="AH112" i="3"/>
  <c r="AK112" i="3"/>
  <c r="AN112" i="3"/>
  <c r="AP112" i="3" s="1"/>
  <c r="AQ112" i="3"/>
  <c r="AT112" i="3"/>
  <c r="AW112" i="3"/>
  <c r="AZ112" i="3"/>
  <c r="BC112" i="3"/>
  <c r="BE112" i="3" s="1"/>
  <c r="BF112" i="3"/>
  <c r="BI112" i="3"/>
  <c r="BL112" i="3"/>
  <c r="BO112" i="3"/>
  <c r="AF111" i="3"/>
  <c r="AI111" i="3"/>
  <c r="AL111" i="3"/>
  <c r="AO111" i="3"/>
  <c r="AR111" i="3"/>
  <c r="AU111" i="3"/>
  <c r="AX111" i="3"/>
  <c r="BA111" i="3"/>
  <c r="BD111" i="3"/>
  <c r="BG111" i="3"/>
  <c r="BJ111" i="3"/>
  <c r="BM111" i="3"/>
  <c r="BP111" i="3"/>
  <c r="AE111" i="3"/>
  <c r="AH111" i="3"/>
  <c r="AK111" i="3"/>
  <c r="AN111" i="3"/>
  <c r="AQ111" i="3"/>
  <c r="AS111" i="3" s="1"/>
  <c r="AT111" i="3"/>
  <c r="AV111" i="3" s="1"/>
  <c r="AW111" i="3"/>
  <c r="AZ111" i="3"/>
  <c r="BC111" i="3"/>
  <c r="BF111" i="3"/>
  <c r="BI111" i="3"/>
  <c r="BL111" i="3"/>
  <c r="BO111" i="3"/>
  <c r="AF110" i="3"/>
  <c r="AI110" i="3"/>
  <c r="AL110" i="3"/>
  <c r="AO110" i="3"/>
  <c r="AR110" i="3"/>
  <c r="AU110" i="3"/>
  <c r="AV110" i="3" s="1"/>
  <c r="AX110" i="3"/>
  <c r="BA110" i="3"/>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BA109" i="3"/>
  <c r="BD109" i="3"/>
  <c r="BG109" i="3"/>
  <c r="BJ109" i="3"/>
  <c r="BM109" i="3"/>
  <c r="BN109" i="3" s="1"/>
  <c r="BP109" i="3"/>
  <c r="AE109" i="3"/>
  <c r="AH109" i="3"/>
  <c r="AJ109" i="3" s="1"/>
  <c r="AK109" i="3"/>
  <c r="AN109" i="3"/>
  <c r="AQ109" i="3"/>
  <c r="AT109" i="3"/>
  <c r="AW109" i="3"/>
  <c r="AZ109" i="3"/>
  <c r="BC109" i="3"/>
  <c r="BF109" i="3"/>
  <c r="BI109" i="3"/>
  <c r="BL109" i="3"/>
  <c r="BO109" i="3"/>
  <c r="AF108" i="3"/>
  <c r="AI108" i="3"/>
  <c r="AJ108" i="3" s="1"/>
  <c r="AL108" i="3"/>
  <c r="AO108" i="3"/>
  <c r="AR108" i="3"/>
  <c r="AU108" i="3"/>
  <c r="AX108" i="3"/>
  <c r="BA108" i="3"/>
  <c r="BD108" i="3"/>
  <c r="BE108" i="3" s="1"/>
  <c r="BG108" i="3"/>
  <c r="BH108" i="3" s="1"/>
  <c r="BJ108" i="3"/>
  <c r="BM108" i="3"/>
  <c r="BP108" i="3"/>
  <c r="AE108" i="3"/>
  <c r="AH108" i="3"/>
  <c r="AK108" i="3"/>
  <c r="AN108" i="3"/>
  <c r="AQ108" i="3"/>
  <c r="AT108" i="3"/>
  <c r="AW108" i="3"/>
  <c r="AZ108" i="3"/>
  <c r="BC108" i="3"/>
  <c r="BF108" i="3"/>
  <c r="BI108" i="3"/>
  <c r="BL108" i="3"/>
  <c r="BO108" i="3"/>
  <c r="AF107" i="3"/>
  <c r="AG107" i="3" s="1"/>
  <c r="AI107" i="3"/>
  <c r="AL107" i="3"/>
  <c r="AO107" i="3"/>
  <c r="AR107" i="3"/>
  <c r="AU107" i="3"/>
  <c r="AX107" i="3"/>
  <c r="BA107" i="3"/>
  <c r="BB107" i="3" s="1"/>
  <c r="BD107" i="3"/>
  <c r="BG107" i="3"/>
  <c r="BJ107" i="3"/>
  <c r="BM107" i="3"/>
  <c r="BP107" i="3"/>
  <c r="AE107" i="3"/>
  <c r="AH107" i="3"/>
  <c r="AJ107" i="3" s="1"/>
  <c r="AK107" i="3"/>
  <c r="AN107" i="3"/>
  <c r="AQ107" i="3"/>
  <c r="AT107" i="3"/>
  <c r="AW107" i="3"/>
  <c r="AY107" i="3" s="1"/>
  <c r="AZ107" i="3"/>
  <c r="BC107" i="3"/>
  <c r="BF107" i="3"/>
  <c r="BI107" i="3"/>
  <c r="BL107" i="3"/>
  <c r="BO107" i="3"/>
  <c r="AF106" i="3"/>
  <c r="AI106" i="3"/>
  <c r="AL106" i="3"/>
  <c r="AO106" i="3"/>
  <c r="AR106" i="3"/>
  <c r="AU106" i="3"/>
  <c r="AV106" i="3" s="1"/>
  <c r="AX106" i="3"/>
  <c r="AY106" i="3" s="1"/>
  <c r="BA106" i="3"/>
  <c r="BD106" i="3"/>
  <c r="BG106" i="3"/>
  <c r="BJ106" i="3"/>
  <c r="BM106" i="3"/>
  <c r="BP106" i="3"/>
  <c r="AE106" i="3"/>
  <c r="AH106" i="3"/>
  <c r="AK106" i="3"/>
  <c r="AN106" i="3"/>
  <c r="AQ106" i="3"/>
  <c r="AT106" i="3"/>
  <c r="AW106" i="3"/>
  <c r="AZ106" i="3"/>
  <c r="BB106" i="3" s="1"/>
  <c r="BC106" i="3"/>
  <c r="BF106" i="3"/>
  <c r="BI106" i="3"/>
  <c r="BL106" i="3"/>
  <c r="BO106" i="3"/>
  <c r="BQ106" i="3" s="1"/>
  <c r="D105" i="3"/>
  <c r="D104" i="3"/>
  <c r="D103" i="3"/>
  <c r="D102" i="3"/>
  <c r="D101" i="3"/>
  <c r="D100" i="3"/>
  <c r="D99" i="3"/>
  <c r="D98" i="3"/>
  <c r="D97" i="3"/>
  <c r="D96" i="3"/>
  <c r="H95" i="3"/>
  <c r="G95" i="3"/>
  <c r="I95" i="3" s="1"/>
  <c r="K95" i="3"/>
  <c r="J95" i="3"/>
  <c r="N95" i="3"/>
  <c r="M95" i="3"/>
  <c r="Q95" i="3"/>
  <c r="P95" i="3"/>
  <c r="T95" i="3"/>
  <c r="S95" i="3"/>
  <c r="W95" i="3"/>
  <c r="V95" i="3"/>
  <c r="Z95" i="3"/>
  <c r="Y95" i="3"/>
  <c r="AC95" i="3"/>
  <c r="AB95" i="3"/>
  <c r="AF95" i="3"/>
  <c r="AE95" i="3"/>
  <c r="AI95" i="3"/>
  <c r="AH95" i="3"/>
  <c r="AL95" i="3"/>
  <c r="AK95" i="3"/>
  <c r="AM95" i="3" s="1"/>
  <c r="AO95" i="3"/>
  <c r="AN95" i="3"/>
  <c r="AP95" i="3"/>
  <c r="AR95" i="3"/>
  <c r="AQ95" i="3"/>
  <c r="AU95" i="3"/>
  <c r="AT95" i="3"/>
  <c r="AX95" i="3"/>
  <c r="AW95" i="3"/>
  <c r="BA95" i="3"/>
  <c r="AZ95" i="3"/>
  <c r="BD95" i="3"/>
  <c r="BC95" i="3"/>
  <c r="BG95" i="3"/>
  <c r="BF95" i="3"/>
  <c r="BJ95" i="3"/>
  <c r="BK95" i="3" s="1"/>
  <c r="BI95" i="3"/>
  <c r="BM95" i="3"/>
  <c r="BL95" i="3"/>
  <c r="BP95" i="3"/>
  <c r="BQ95" i="3" s="1"/>
  <c r="BO95" i="3"/>
  <c r="H94" i="3"/>
  <c r="G94" i="3"/>
  <c r="K94" i="3"/>
  <c r="J94" i="3"/>
  <c r="N94" i="3"/>
  <c r="M94" i="3"/>
  <c r="Q94" i="3"/>
  <c r="R94" i="3" s="1"/>
  <c r="P94" i="3"/>
  <c r="T94" i="3"/>
  <c r="S94" i="3"/>
  <c r="W94" i="3"/>
  <c r="X94" i="3" s="1"/>
  <c r="V94" i="3"/>
  <c r="Z94" i="3"/>
  <c r="Y94" i="3"/>
  <c r="AA94" i="3" s="1"/>
  <c r="AC94" i="3"/>
  <c r="AB94" i="3"/>
  <c r="AF94" i="3"/>
  <c r="AE94" i="3"/>
  <c r="AI94" i="3"/>
  <c r="AH94" i="3"/>
  <c r="AJ94" i="3" s="1"/>
  <c r="AL94" i="3"/>
  <c r="AK94" i="3"/>
  <c r="AO94" i="3"/>
  <c r="AN94" i="3"/>
  <c r="AP94" i="3" s="1"/>
  <c r="AR94" i="3"/>
  <c r="AQ94" i="3"/>
  <c r="AU94" i="3"/>
  <c r="AT94" i="3"/>
  <c r="AX94" i="3"/>
  <c r="AY94" i="3" s="1"/>
  <c r="AW94" i="3"/>
  <c r="BA94" i="3"/>
  <c r="AZ94" i="3"/>
  <c r="BD94" i="3"/>
  <c r="BC94" i="3"/>
  <c r="BG94" i="3"/>
  <c r="BF94" i="3"/>
  <c r="BJ94" i="3"/>
  <c r="BK94" i="3" s="1"/>
  <c r="BI94" i="3"/>
  <c r="BM94" i="3"/>
  <c r="BL94" i="3"/>
  <c r="BP94" i="3"/>
  <c r="BO94" i="3"/>
  <c r="H93" i="3"/>
  <c r="G93" i="3"/>
  <c r="K93" i="3"/>
  <c r="L93" i="3" s="1"/>
  <c r="J93" i="3"/>
  <c r="N93" i="3"/>
  <c r="M93" i="3"/>
  <c r="Q93" i="3"/>
  <c r="P93" i="3"/>
  <c r="T93" i="3"/>
  <c r="S93" i="3"/>
  <c r="W93" i="3"/>
  <c r="V93" i="3"/>
  <c r="Z93" i="3"/>
  <c r="Y93" i="3"/>
  <c r="AC93" i="3"/>
  <c r="AB93" i="3"/>
  <c r="AF93" i="3"/>
  <c r="AE93" i="3"/>
  <c r="AI93" i="3"/>
  <c r="AH93" i="3"/>
  <c r="AL93" i="3"/>
  <c r="AK93" i="3"/>
  <c r="AO93" i="3"/>
  <c r="AN93" i="3"/>
  <c r="AR93" i="3"/>
  <c r="AQ93" i="3"/>
  <c r="AU93" i="3"/>
  <c r="AT93" i="3"/>
  <c r="AX93" i="3"/>
  <c r="AW93" i="3"/>
  <c r="AY93" i="3" s="1"/>
  <c r="BA93" i="3"/>
  <c r="AZ93" i="3"/>
  <c r="BD93" i="3"/>
  <c r="BC93" i="3"/>
  <c r="BE93" i="3" s="1"/>
  <c r="BG93" i="3"/>
  <c r="BF93" i="3"/>
  <c r="BJ93" i="3"/>
  <c r="BI93" i="3"/>
  <c r="BM93" i="3"/>
  <c r="BL93" i="3"/>
  <c r="BN93" i="3"/>
  <c r="BP93" i="3"/>
  <c r="BO93" i="3"/>
  <c r="H92" i="3"/>
  <c r="G92" i="3"/>
  <c r="K92" i="3"/>
  <c r="J92" i="3"/>
  <c r="L92" i="3"/>
  <c r="N92" i="3"/>
  <c r="M92" i="3"/>
  <c r="Q92" i="3"/>
  <c r="P92" i="3"/>
  <c r="T92" i="3"/>
  <c r="S92" i="3"/>
  <c r="W92" i="3"/>
  <c r="V92" i="3"/>
  <c r="Z92" i="3"/>
  <c r="Y92" i="3"/>
  <c r="AC92" i="3"/>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Q92" i="3" s="1"/>
  <c r="BO92" i="3"/>
  <c r="H91" i="3"/>
  <c r="G91" i="3"/>
  <c r="I91" i="3" s="1"/>
  <c r="K91" i="3"/>
  <c r="L91" i="3" s="1"/>
  <c r="J91" i="3"/>
  <c r="N91" i="3"/>
  <c r="M91" i="3"/>
  <c r="Q91" i="3"/>
  <c r="P91" i="3"/>
  <c r="T91" i="3"/>
  <c r="S91" i="3"/>
  <c r="W91" i="3"/>
  <c r="X91" i="3" s="1"/>
  <c r="V91" i="3"/>
  <c r="Z91" i="3"/>
  <c r="Y91" i="3"/>
  <c r="AC91" i="3"/>
  <c r="AB91" i="3"/>
  <c r="AF91" i="3"/>
  <c r="AE91" i="3"/>
  <c r="AI91" i="3"/>
  <c r="AH91" i="3"/>
  <c r="AL91" i="3"/>
  <c r="AK91" i="3"/>
  <c r="AO91" i="3"/>
  <c r="AN91" i="3"/>
  <c r="AP91" i="3" s="1"/>
  <c r="AR91" i="3"/>
  <c r="AQ91" i="3"/>
  <c r="AU91" i="3"/>
  <c r="AV91" i="3" s="1"/>
  <c r="AT91" i="3"/>
  <c r="AX91" i="3"/>
  <c r="AW91" i="3"/>
  <c r="BA91" i="3"/>
  <c r="AZ91" i="3"/>
  <c r="BD91" i="3"/>
  <c r="BC91" i="3"/>
  <c r="BG91" i="3"/>
  <c r="BH91" i="3" s="1"/>
  <c r="BF91" i="3"/>
  <c r="BJ91" i="3"/>
  <c r="BK91" i="3" s="1"/>
  <c r="BI91" i="3"/>
  <c r="BM91" i="3"/>
  <c r="BL91" i="3"/>
  <c r="BP91" i="3"/>
  <c r="D114" i="14" s="1"/>
  <c r="BO91" i="3"/>
  <c r="H90" i="3"/>
  <c r="G90" i="3"/>
  <c r="K90" i="3"/>
  <c r="J90" i="3"/>
  <c r="N90" i="3"/>
  <c r="M90" i="3"/>
  <c r="Q90" i="3"/>
  <c r="P90" i="3"/>
  <c r="T90" i="3"/>
  <c r="S90" i="3"/>
  <c r="U90" i="3" s="1"/>
  <c r="W90" i="3"/>
  <c r="V90" i="3"/>
  <c r="Z90" i="3"/>
  <c r="Y90" i="3"/>
  <c r="AC90" i="3"/>
  <c r="AB90" i="3"/>
  <c r="AF90" i="3"/>
  <c r="AE90" i="3"/>
  <c r="AI90" i="3"/>
  <c r="AH90" i="3"/>
  <c r="AJ90" i="3" s="1"/>
  <c r="AL90" i="3"/>
  <c r="AM90" i="3"/>
  <c r="AK90" i="3"/>
  <c r="AO90" i="3"/>
  <c r="AN90" i="3"/>
  <c r="AR90" i="3"/>
  <c r="AQ90" i="3"/>
  <c r="AU90" i="3"/>
  <c r="AT90" i="3"/>
  <c r="AV90" i="3" s="1"/>
  <c r="AX90" i="3"/>
  <c r="AW90" i="3"/>
  <c r="BA90" i="3"/>
  <c r="AZ90" i="3"/>
  <c r="BD90" i="3"/>
  <c r="BC90" i="3"/>
  <c r="BG90" i="3"/>
  <c r="BF90" i="3"/>
  <c r="BJ90" i="3"/>
  <c r="BK90" i="3" s="1"/>
  <c r="BI90" i="3"/>
  <c r="BM90" i="3"/>
  <c r="BL90" i="3"/>
  <c r="BP90" i="3"/>
  <c r="BQ90" i="3" s="1"/>
  <c r="BO90" i="3"/>
  <c r="H89" i="3"/>
  <c r="G89" i="3"/>
  <c r="K89" i="3"/>
  <c r="J89" i="3"/>
  <c r="N89" i="3"/>
  <c r="M89" i="3"/>
  <c r="Q89" i="3"/>
  <c r="R89" i="3" s="1"/>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V89" i="3" s="1"/>
  <c r="AT89" i="3"/>
  <c r="AX89" i="3"/>
  <c r="AY89" i="3" s="1"/>
  <c r="AW89" i="3"/>
  <c r="BA89" i="3"/>
  <c r="AZ89" i="3"/>
  <c r="BD89" i="3"/>
  <c r="BC89" i="3"/>
  <c r="BG89" i="3"/>
  <c r="BF89" i="3"/>
  <c r="BJ89" i="3"/>
  <c r="BI89" i="3"/>
  <c r="BM89" i="3"/>
  <c r="BL89" i="3"/>
  <c r="BN89" i="3" s="1"/>
  <c r="BP89" i="3"/>
  <c r="BO89" i="3"/>
  <c r="G88" i="3"/>
  <c r="K88" i="3"/>
  <c r="J88" i="3"/>
  <c r="L88" i="3" s="1"/>
  <c r="N88" i="3"/>
  <c r="M88" i="3"/>
  <c r="O88" i="3" s="1"/>
  <c r="Q88" i="3"/>
  <c r="R88" i="3" s="1"/>
  <c r="P88" i="3"/>
  <c r="T88" i="3"/>
  <c r="U88" i="3" s="1"/>
  <c r="S88" i="3"/>
  <c r="W88" i="3"/>
  <c r="V88" i="3"/>
  <c r="Z88" i="3"/>
  <c r="AA88" i="3" s="1"/>
  <c r="Y88" i="3"/>
  <c r="AC88" i="3"/>
  <c r="AB88" i="3"/>
  <c r="AD88" i="3" s="1"/>
  <c r="AF88" i="3"/>
  <c r="AE88" i="3"/>
  <c r="AG88" i="3" s="1"/>
  <c r="AI88" i="3"/>
  <c r="AH88" i="3"/>
  <c r="AL88" i="3"/>
  <c r="AK88" i="3"/>
  <c r="AO88" i="3"/>
  <c r="AN88" i="3"/>
  <c r="AR88" i="3"/>
  <c r="AQ88" i="3"/>
  <c r="AS88" i="3" s="1"/>
  <c r="AU88" i="3"/>
  <c r="AT88" i="3"/>
  <c r="AV88" i="3" s="1"/>
  <c r="AX88" i="3"/>
  <c r="AW88" i="3"/>
  <c r="BA88" i="3"/>
  <c r="AZ88" i="3"/>
  <c r="BD88" i="3"/>
  <c r="BC88" i="3"/>
  <c r="BG88" i="3"/>
  <c r="BF88" i="3"/>
  <c r="BJ88" i="3"/>
  <c r="BK88" i="3" s="1"/>
  <c r="BI88" i="3"/>
  <c r="BM88" i="3"/>
  <c r="BL88" i="3"/>
  <c r="BP88" i="3"/>
  <c r="BO88" i="3"/>
  <c r="BQ88" i="3"/>
  <c r="H87" i="3"/>
  <c r="D5" i="14" s="1"/>
  <c r="G87" i="3"/>
  <c r="K87" i="3"/>
  <c r="J87" i="3"/>
  <c r="N87" i="3"/>
  <c r="M87" i="3"/>
  <c r="Q87" i="3"/>
  <c r="P87" i="3"/>
  <c r="T87" i="3"/>
  <c r="S87" i="3"/>
  <c r="W87" i="3"/>
  <c r="V87" i="3"/>
  <c r="Z87" i="3"/>
  <c r="Y87" i="3"/>
  <c r="AC87" i="3"/>
  <c r="AB87" i="3"/>
  <c r="AF87" i="3"/>
  <c r="AE87" i="3"/>
  <c r="AI87" i="3"/>
  <c r="AH87" i="3"/>
  <c r="AJ87" i="3"/>
  <c r="AL87" i="3"/>
  <c r="AK87" i="3"/>
  <c r="AM87" i="3" s="1"/>
  <c r="AO87" i="3"/>
  <c r="AN87" i="3"/>
  <c r="AP87" i="3" s="1"/>
  <c r="AR87" i="3"/>
  <c r="AQ87" i="3"/>
  <c r="AU87" i="3"/>
  <c r="AT87" i="3"/>
  <c r="AX87" i="3"/>
  <c r="AW87" i="3"/>
  <c r="BA87" i="3"/>
  <c r="AZ87" i="3"/>
  <c r="BD87" i="3"/>
  <c r="BC87" i="3"/>
  <c r="BG87" i="3"/>
  <c r="BF87" i="3"/>
  <c r="BJ87" i="3"/>
  <c r="BI87" i="3"/>
  <c r="BM87" i="3"/>
  <c r="BL87" i="3"/>
  <c r="BP87" i="3"/>
  <c r="BO87" i="3"/>
  <c r="H86" i="3"/>
  <c r="G86" i="3"/>
  <c r="K86" i="3"/>
  <c r="J86" i="3"/>
  <c r="N86" i="3"/>
  <c r="O86" i="3"/>
  <c r="M86" i="3"/>
  <c r="Q86" i="3"/>
  <c r="P86" i="3"/>
  <c r="T86" i="3"/>
  <c r="U86" i="3" s="1"/>
  <c r="S86" i="3"/>
  <c r="W86" i="3"/>
  <c r="V86" i="3"/>
  <c r="Z86" i="3"/>
  <c r="Y86" i="3"/>
  <c r="AC86" i="3"/>
  <c r="AB86" i="3"/>
  <c r="AF86" i="3"/>
  <c r="AE86" i="3"/>
  <c r="AI86" i="3"/>
  <c r="AH86" i="3"/>
  <c r="AL86" i="3"/>
  <c r="AM86" i="3" s="1"/>
  <c r="AK86" i="3"/>
  <c r="AO86" i="3"/>
  <c r="AN86" i="3"/>
  <c r="AP86" i="3" s="1"/>
  <c r="AR86" i="3"/>
  <c r="AQ86" i="3"/>
  <c r="AU86" i="3"/>
  <c r="AT86" i="3"/>
  <c r="AX86" i="3"/>
  <c r="AY86" i="3" s="1"/>
  <c r="AW86" i="3"/>
  <c r="BA86" i="3"/>
  <c r="AZ86" i="3"/>
  <c r="BD86" i="3"/>
  <c r="BC86" i="3"/>
  <c r="BG86" i="3"/>
  <c r="BF86" i="3"/>
  <c r="BJ86" i="3"/>
  <c r="BI86" i="3"/>
  <c r="BM86" i="3"/>
  <c r="BL86" i="3"/>
  <c r="BP86" i="3"/>
  <c r="BO86" i="3"/>
  <c r="BQ86" i="3" s="1"/>
  <c r="G85" i="3"/>
  <c r="AH84" i="3"/>
  <c r="AK84" i="3"/>
  <c r="AN84" i="3"/>
  <c r="AQ84" i="3"/>
  <c r="AT84" i="3"/>
  <c r="AW84" i="3"/>
  <c r="AW83" i="3"/>
  <c r="BF83" i="3"/>
  <c r="AE82" i="3"/>
  <c r="AH81" i="3"/>
  <c r="AN81" i="3"/>
  <c r="AQ81" i="3"/>
  <c r="AW81" i="3"/>
  <c r="AZ80" i="3"/>
  <c r="BC80" i="3"/>
  <c r="BF80" i="3"/>
  <c r="BI80" i="3"/>
  <c r="AE79" i="3"/>
  <c r="AH78" i="3"/>
  <c r="AQ78" i="3"/>
  <c r="AT78" i="3"/>
  <c r="AZ78" i="3"/>
  <c r="BC78" i="3"/>
  <c r="BC77" i="3"/>
  <c r="BI77" i="3"/>
  <c r="BL77" i="3"/>
  <c r="BO77" i="3"/>
  <c r="G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F55" i="3" s="1"/>
  <c r="O55" i="3"/>
  <c r="R55" i="3"/>
  <c r="U55" i="3"/>
  <c r="X55" i="3"/>
  <c r="AA55" i="3"/>
  <c r="AD55" i="3"/>
  <c r="AG55" i="3"/>
  <c r="AJ55" i="3"/>
  <c r="AM55" i="3"/>
  <c r="AP55" i="3"/>
  <c r="AS55" i="3"/>
  <c r="AV55" i="3"/>
  <c r="AY55" i="3"/>
  <c r="BB55" i="3"/>
  <c r="BE55" i="3"/>
  <c r="BH55" i="3"/>
  <c r="BK55" i="3"/>
  <c r="BN55" i="3"/>
  <c r="BQ55" i="3"/>
  <c r="E55" i="3"/>
  <c r="D55" i="3"/>
  <c r="E54" i="3"/>
  <c r="D54" i="3"/>
  <c r="E53" i="3"/>
  <c r="D53" i="3"/>
  <c r="F53" i="3" s="1"/>
  <c r="E52" i="3"/>
  <c r="D52" i="3"/>
  <c r="E51" i="3"/>
  <c r="D51" i="3"/>
  <c r="E50" i="3"/>
  <c r="D50" i="3"/>
  <c r="E49" i="3"/>
  <c r="F49" i="3" s="1"/>
  <c r="D49" i="3"/>
  <c r="E48" i="3"/>
  <c r="D48" i="3"/>
  <c r="F48" i="3" s="1"/>
  <c r="E47" i="3"/>
  <c r="D47" i="3"/>
  <c r="E46" i="3"/>
  <c r="D46" i="3"/>
  <c r="E45" i="3"/>
  <c r="D45" i="3"/>
  <c r="F45" i="3" s="1"/>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F10" i="3" s="1"/>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M2" i="3"/>
  <c r="AJ115" i="3"/>
  <c r="AD113" i="3"/>
  <c r="AM112"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AP115" i="3"/>
  <c r="AG106" i="3"/>
  <c r="AY111" i="3"/>
  <c r="AS107" i="3"/>
  <c r="AD112" i="3"/>
  <c r="AM109"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H3" i="32"/>
  <c r="H14" i="32"/>
  <c r="H15" i="32"/>
  <c r="H16" i="32"/>
  <c r="H17" i="32"/>
  <c r="H18" i="32"/>
  <c r="H19" i="32"/>
  <c r="H20" i="32"/>
  <c r="H21" i="32"/>
  <c r="H22" i="32"/>
  <c r="H23" i="32"/>
  <c r="H24" i="28"/>
  <c r="J24" i="28" s="1"/>
  <c r="H19" i="28"/>
  <c r="J19" i="28" s="1"/>
  <c r="H14" i="28"/>
  <c r="J14" i="28" s="1"/>
  <c r="H25" i="28"/>
  <c r="J25" i="28" s="1"/>
  <c r="H27" i="28"/>
  <c r="H26" i="28"/>
  <c r="J26" i="28" s="1"/>
  <c r="H22" i="28"/>
  <c r="H21" i="28"/>
  <c r="J21" i="28" s="1"/>
  <c r="H20" i="28"/>
  <c r="J20" i="28" s="1"/>
  <c r="H17" i="28"/>
  <c r="H16" i="28"/>
  <c r="J16" i="28" s="1"/>
  <c r="H15" i="28"/>
  <c r="J15" i="28" s="1"/>
  <c r="H12" i="28"/>
  <c r="H11" i="28"/>
  <c r="J11" i="28" s="1"/>
  <c r="H10" i="28"/>
  <c r="J10" i="28" s="1"/>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s="1"/>
  <c r="E120" i="14"/>
  <c r="D120" i="14"/>
  <c r="E119" i="14"/>
  <c r="D119" i="14" s="1"/>
  <c r="E118" i="14"/>
  <c r="E117" i="14"/>
  <c r="D117" i="14" s="1"/>
  <c r="E116" i="14"/>
  <c r="E115" i="14"/>
  <c r="D115" i="14" s="1"/>
  <c r="E114" i="14"/>
  <c r="E113" i="14"/>
  <c r="E112" i="14"/>
  <c r="D112" i="14" s="1"/>
  <c r="E111" i="14"/>
  <c r="D111" i="14" s="1"/>
  <c r="E110" i="14"/>
  <c r="D110" i="14" s="1"/>
  <c r="E109" i="14"/>
  <c r="D109" i="14" s="1"/>
  <c r="E103" i="14"/>
  <c r="E102" i="14"/>
  <c r="E101" i="14"/>
  <c r="E100" i="14"/>
  <c r="E99" i="14"/>
  <c r="E98" i="14"/>
  <c r="E97" i="14"/>
  <c r="E96" i="14"/>
  <c r="E95" i="14"/>
  <c r="E94" i="14"/>
  <c r="E93" i="14"/>
  <c r="D93" i="14" s="1"/>
  <c r="E92" i="14"/>
  <c r="D92" i="14" s="1"/>
  <c r="E91" i="14"/>
  <c r="D91" i="14" s="1"/>
  <c r="E90" i="14"/>
  <c r="D90" i="14" s="1"/>
  <c r="E89" i="14"/>
  <c r="D89" i="14"/>
  <c r="E88" i="14"/>
  <c r="D88" i="14" s="1"/>
  <c r="E87" i="14"/>
  <c r="D87" i="14" s="1"/>
  <c r="E86" i="14"/>
  <c r="D86" i="14" s="1"/>
  <c r="E85" i="14"/>
  <c r="D85" i="14" s="1"/>
  <c r="E84" i="14"/>
  <c r="D84" i="14" s="1"/>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s="1"/>
  <c r="E56" i="14"/>
  <c r="D56" i="14" s="1"/>
  <c r="E55" i="14"/>
  <c r="D55" i="14" s="1"/>
  <c r="E54" i="14"/>
  <c r="D54" i="14" s="1"/>
  <c r="E53" i="14"/>
  <c r="D53" i="14" s="1"/>
  <c r="E52" i="14"/>
  <c r="D52" i="14" s="1"/>
  <c r="E51" i="14"/>
  <c r="D51" i="14" s="1"/>
  <c r="E50" i="14"/>
  <c r="D50" i="14" s="1"/>
  <c r="E49" i="14"/>
  <c r="D49" i="14" s="1"/>
  <c r="E48" i="14"/>
  <c r="D48" i="14" s="1"/>
  <c r="E47" i="14"/>
  <c r="E46" i="14"/>
  <c r="E45" i="14"/>
  <c r="E44" i="14"/>
  <c r="E43" i="14"/>
  <c r="E42" i="14"/>
  <c r="E41" i="14"/>
  <c r="E40" i="14"/>
  <c r="E39" i="14"/>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c r="E16" i="14"/>
  <c r="D16" i="14" s="1"/>
  <c r="E15" i="14"/>
  <c r="D15" i="14" s="1"/>
  <c r="E14" i="14"/>
  <c r="D14" i="14" s="1"/>
  <c r="E13" i="14"/>
  <c r="E12" i="14"/>
  <c r="E11" i="14"/>
  <c r="D11" i="14" s="1"/>
  <c r="E10" i="14"/>
  <c r="D10" i="14" s="1"/>
  <c r="E9" i="14"/>
  <c r="D9" i="14" s="1"/>
  <c r="E8" i="14"/>
  <c r="E7" i="14"/>
  <c r="D7" i="14" s="1"/>
  <c r="E6" i="14"/>
  <c r="E5" i="14"/>
  <c r="E4" i="14"/>
  <c r="D4" i="14" s="1"/>
  <c r="M11" i="11"/>
  <c r="M13" i="6" s="1"/>
  <c r="N13" i="6" s="1"/>
  <c r="E11" i="11"/>
  <c r="E3" i="18"/>
  <c r="E4" i="17"/>
  <c r="M27" i="11"/>
  <c r="L27" i="11"/>
  <c r="K27" i="11"/>
  <c r="J27" i="11"/>
  <c r="I27" i="11"/>
  <c r="H27" i="1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BQ54" i="3"/>
  <c r="BN54" i="3"/>
  <c r="BK54" i="3"/>
  <c r="I54" i="3"/>
  <c r="BQ53" i="3"/>
  <c r="BN53" i="3"/>
  <c r="BK53" i="3"/>
  <c r="I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J11" i="11"/>
  <c r="L11" i="11"/>
  <c r="BK15" i="3"/>
  <c r="BK16" i="3"/>
  <c r="BN17" i="3"/>
  <c r="BN21" i="3"/>
  <c r="I19" i="3"/>
  <c r="I23" i="3"/>
  <c r="I18" i="3"/>
  <c r="I22" i="3"/>
  <c r="I15" i="3"/>
  <c r="I17" i="3"/>
  <c r="I21" i="3"/>
  <c r="BK17" i="3"/>
  <c r="BQ17" i="3"/>
  <c r="BQ111" i="3"/>
  <c r="BQ18" i="3"/>
  <c r="BQ19" i="3"/>
  <c r="BK20" i="3"/>
  <c r="BK21" i="3"/>
  <c r="BQ22" i="3"/>
  <c r="BK23" i="3"/>
  <c r="BK24" i="3"/>
  <c r="BQ24" i="3"/>
  <c r="BQ15" i="3"/>
  <c r="BQ16" i="3"/>
  <c r="I16" i="3"/>
  <c r="BN15" i="3"/>
  <c r="BN16" i="3"/>
  <c r="D25" i="11"/>
  <c r="AF14" i="20"/>
  <c r="BH111" i="3"/>
  <c r="BN114" i="3"/>
  <c r="G2" i="3"/>
  <c r="A2" i="14" s="1"/>
  <c r="T27" i="37"/>
  <c r="I94" i="3"/>
  <c r="BH124" i="3"/>
  <c r="AP92" i="3"/>
  <c r="AA95" i="3"/>
  <c r="L106" i="3"/>
  <c r="AG94" i="3"/>
  <c r="X88" i="3"/>
  <c r="AI4" i="20"/>
  <c r="R107" i="3"/>
  <c r="O122" i="3"/>
  <c r="B12" i="35"/>
  <c r="E9" i="32" s="1"/>
  <c r="L294" i="30" s="1"/>
  <c r="B17" i="35"/>
  <c r="B21" i="35"/>
  <c r="B25" i="35"/>
  <c r="B9" i="35"/>
  <c r="E6" i="32" s="1"/>
  <c r="X122" i="3"/>
  <c r="AA106" i="3"/>
  <c r="B11" i="35"/>
  <c r="E8" i="32" s="1"/>
  <c r="B10" i="35"/>
  <c r="E7" i="32" s="1"/>
  <c r="B23" i="35"/>
  <c r="B19" i="35"/>
  <c r="B15" i="35"/>
  <c r="E12" i="32" s="1"/>
  <c r="L256" i="30" s="1"/>
  <c r="B26" i="35"/>
  <c r="B22" i="35"/>
  <c r="B18" i="35"/>
  <c r="B14" i="35"/>
  <c r="E11" i="32" s="1"/>
  <c r="B13" i="35"/>
  <c r="E10" i="32" s="1"/>
  <c r="B20" i="35"/>
  <c r="T9" i="37"/>
  <c r="T21" i="37"/>
  <c r="T16" i="37"/>
  <c r="U15" i="29"/>
  <c r="V15" i="29" s="1"/>
  <c r="O3" i="39"/>
  <c r="U3" i="39" s="1"/>
  <c r="T3" i="39"/>
  <c r="Q3" i="39"/>
  <c r="V3" i="39" s="1"/>
  <c r="S13" i="37" l="1"/>
  <c r="S5" i="37"/>
  <c r="S23" i="37"/>
  <c r="H14" i="37"/>
  <c r="H28" i="37"/>
  <c r="I28" i="37" s="1"/>
  <c r="H34" i="37"/>
  <c r="H13" i="37"/>
  <c r="I13" i="37" s="1"/>
  <c r="H27" i="37"/>
  <c r="I27" i="37" s="1"/>
  <c r="H31" i="37"/>
  <c r="I31" i="37" s="1"/>
  <c r="H8" i="37"/>
  <c r="I8" i="37" s="1"/>
  <c r="H18" i="37"/>
  <c r="I18" i="37" s="1"/>
  <c r="H30" i="37"/>
  <c r="H22" i="37"/>
  <c r="H17" i="37"/>
  <c r="I17" i="37" s="1"/>
  <c r="H12" i="37"/>
  <c r="I12" i="37" s="1"/>
  <c r="H25" i="37"/>
  <c r="I25" i="37" s="1"/>
  <c r="H33" i="37"/>
  <c r="I33" i="37" s="1"/>
  <c r="H11" i="37"/>
  <c r="I11" i="37" s="1"/>
  <c r="H7" i="37"/>
  <c r="I7" i="37" s="1"/>
  <c r="H36" i="37"/>
  <c r="H32" i="37"/>
  <c r="I32" i="37" s="1"/>
  <c r="S4" i="37"/>
  <c r="S25" i="37"/>
  <c r="S7" i="37"/>
  <c r="S24" i="37"/>
  <c r="S22" i="37"/>
  <c r="S10" i="37"/>
  <c r="S19" i="37"/>
  <c r="S8" i="37"/>
  <c r="S12" i="37"/>
  <c r="L409" i="30"/>
  <c r="O409" i="30" s="1"/>
  <c r="P409" i="30" s="1"/>
  <c r="L410" i="30"/>
  <c r="O410" i="30" s="1"/>
  <c r="P410" i="30" s="1"/>
  <c r="L412" i="30"/>
  <c r="O412" i="30" s="1"/>
  <c r="P412" i="30" s="1"/>
  <c r="L405" i="30"/>
  <c r="O405" i="30" s="1"/>
  <c r="P405" i="30" s="1"/>
  <c r="L411" i="30"/>
  <c r="O411" i="30" s="1"/>
  <c r="P411" i="30" s="1"/>
  <c r="L408" i="30"/>
  <c r="O408" i="30" s="1"/>
  <c r="P408" i="30" s="1"/>
  <c r="L425" i="30"/>
  <c r="O425" i="30" s="1"/>
  <c r="P425" i="30" s="1"/>
  <c r="L426" i="30"/>
  <c r="O426" i="30" s="1"/>
  <c r="P426" i="30" s="1"/>
  <c r="L423" i="30"/>
  <c r="O423" i="30" s="1"/>
  <c r="P423" i="30" s="1"/>
  <c r="L424" i="30"/>
  <c r="O424" i="30" s="1"/>
  <c r="P424" i="30" s="1"/>
  <c r="L427" i="30"/>
  <c r="O427" i="30" s="1"/>
  <c r="P427" i="30" s="1"/>
  <c r="L391" i="30"/>
  <c r="O391" i="30" s="1"/>
  <c r="P391" i="30" s="1"/>
  <c r="L398" i="30"/>
  <c r="O398" i="30" s="1"/>
  <c r="P398" i="30" s="1"/>
  <c r="L386" i="30"/>
  <c r="O386" i="30" s="1"/>
  <c r="P386" i="30" s="1"/>
  <c r="L395" i="30"/>
  <c r="O395" i="30" s="1"/>
  <c r="P395" i="30" s="1"/>
  <c r="L393" i="30"/>
  <c r="O393" i="30" s="1"/>
  <c r="P393" i="30" s="1"/>
  <c r="L399" i="30"/>
  <c r="O399" i="30" s="1"/>
  <c r="P399" i="30" s="1"/>
  <c r="L387" i="30"/>
  <c r="O387" i="30" s="1"/>
  <c r="P387" i="30" s="1"/>
  <c r="L397" i="30"/>
  <c r="O397" i="30" s="1"/>
  <c r="P397" i="30" s="1"/>
  <c r="L400" i="30"/>
  <c r="O400" i="30" s="1"/>
  <c r="P400" i="30" s="1"/>
  <c r="L396" i="30"/>
  <c r="O396" i="30" s="1"/>
  <c r="P396" i="30" s="1"/>
  <c r="L401" i="30"/>
  <c r="O401" i="30" s="1"/>
  <c r="P401" i="30" s="1"/>
  <c r="L389" i="30"/>
  <c r="O389" i="30" s="1"/>
  <c r="P389" i="30" s="1"/>
  <c r="L394" i="30"/>
  <c r="O394" i="30" s="1"/>
  <c r="P394" i="30" s="1"/>
  <c r="L392" i="30"/>
  <c r="O392" i="30" s="1"/>
  <c r="P392" i="30" s="1"/>
  <c r="L402" i="30"/>
  <c r="O402" i="30" s="1"/>
  <c r="P402" i="30" s="1"/>
  <c r="L390" i="30"/>
  <c r="O390" i="30" s="1"/>
  <c r="P390" i="30" s="1"/>
  <c r="I10" i="32"/>
  <c r="M61" i="9" s="1"/>
  <c r="I9" i="32"/>
  <c r="L57" i="9" s="1"/>
  <c r="I7" i="32"/>
  <c r="J43" i="9" s="1"/>
  <c r="G18" i="10"/>
  <c r="I4" i="6"/>
  <c r="C25" i="11"/>
  <c r="M77" i="3"/>
  <c r="Y79" i="3"/>
  <c r="P83" i="3"/>
  <c r="AB84" i="3"/>
  <c r="S78" i="3"/>
  <c r="S76" i="3"/>
  <c r="V82" i="3"/>
  <c r="V81" i="3"/>
  <c r="J78" i="3"/>
  <c r="V77" i="3"/>
  <c r="M80" i="3"/>
  <c r="Y85" i="3"/>
  <c r="P85" i="3"/>
  <c r="Y83" i="3"/>
  <c r="F8" i="4"/>
  <c r="C27" i="11"/>
  <c r="I23" i="37"/>
  <c r="L416" i="30"/>
  <c r="L415" i="30"/>
  <c r="L414" i="30"/>
  <c r="L413" i="30"/>
  <c r="L419" i="30"/>
  <c r="L417" i="30"/>
  <c r="L418" i="30"/>
  <c r="L420" i="30"/>
  <c r="L163" i="30"/>
  <c r="L153" i="30"/>
  <c r="L143" i="30"/>
  <c r="L133" i="30"/>
  <c r="L123" i="30"/>
  <c r="L113" i="30"/>
  <c r="L103" i="30"/>
  <c r="L93" i="30"/>
  <c r="L83" i="30"/>
  <c r="L73" i="30"/>
  <c r="L63" i="30"/>
  <c r="L53" i="30"/>
  <c r="L43" i="30"/>
  <c r="L33" i="30"/>
  <c r="L23" i="30"/>
  <c r="L13" i="30"/>
  <c r="L173" i="30"/>
  <c r="L183" i="30"/>
  <c r="L193" i="30"/>
  <c r="L203" i="30"/>
  <c r="L213" i="30"/>
  <c r="L223" i="30"/>
  <c r="L233" i="30"/>
  <c r="L243" i="30"/>
  <c r="L253" i="30"/>
  <c r="L263" i="30"/>
  <c r="L273" i="30"/>
  <c r="L283" i="30"/>
  <c r="L293" i="30"/>
  <c r="L162" i="30"/>
  <c r="L152" i="30"/>
  <c r="L142" i="30"/>
  <c r="L132" i="30"/>
  <c r="L122" i="30"/>
  <c r="L112" i="30"/>
  <c r="L102" i="30"/>
  <c r="L92" i="30"/>
  <c r="L82" i="30"/>
  <c r="L72" i="30"/>
  <c r="L62" i="30"/>
  <c r="L52" i="30"/>
  <c r="L42" i="30"/>
  <c r="L32" i="30"/>
  <c r="L22" i="30"/>
  <c r="L170" i="30"/>
  <c r="L180" i="30"/>
  <c r="L190" i="30"/>
  <c r="L200" i="30"/>
  <c r="L210" i="30"/>
  <c r="L220" i="30"/>
  <c r="L230" i="30"/>
  <c r="L240" i="30"/>
  <c r="L250" i="30"/>
  <c r="L260" i="30"/>
  <c r="L270" i="30"/>
  <c r="L280" i="30"/>
  <c r="L290" i="30"/>
  <c r="L161" i="30"/>
  <c r="L151" i="30"/>
  <c r="L141" i="30"/>
  <c r="L131" i="30"/>
  <c r="L121" i="30"/>
  <c r="L111" i="30"/>
  <c r="L101" i="30"/>
  <c r="L91" i="30"/>
  <c r="L81" i="30"/>
  <c r="L71" i="30"/>
  <c r="L61" i="30"/>
  <c r="L51" i="30"/>
  <c r="L41" i="30"/>
  <c r="L31" i="30"/>
  <c r="L21" i="30"/>
  <c r="L177" i="30"/>
  <c r="L187" i="30"/>
  <c r="L197" i="30"/>
  <c r="L207" i="30"/>
  <c r="L217" i="30"/>
  <c r="L227" i="30"/>
  <c r="L237" i="30"/>
  <c r="L247" i="30"/>
  <c r="L257" i="30"/>
  <c r="L267" i="30"/>
  <c r="L277" i="30"/>
  <c r="L287" i="30"/>
  <c r="L297" i="30"/>
  <c r="L160" i="30"/>
  <c r="L150" i="30"/>
  <c r="L140" i="30"/>
  <c r="L130" i="30"/>
  <c r="L120" i="30"/>
  <c r="L110" i="30"/>
  <c r="L100" i="30"/>
  <c r="L90" i="30"/>
  <c r="L80" i="30"/>
  <c r="L70" i="30"/>
  <c r="L60" i="30"/>
  <c r="L50" i="30"/>
  <c r="L40" i="30"/>
  <c r="L30" i="30"/>
  <c r="L20" i="30"/>
  <c r="L174" i="30"/>
  <c r="L184" i="30"/>
  <c r="L194" i="30"/>
  <c r="L204" i="30"/>
  <c r="L214" i="30"/>
  <c r="L224" i="30"/>
  <c r="L234" i="30"/>
  <c r="L244" i="30"/>
  <c r="L254" i="30"/>
  <c r="L264" i="30"/>
  <c r="L274" i="30"/>
  <c r="L284" i="30"/>
  <c r="L337" i="30"/>
  <c r="L327" i="30"/>
  <c r="L317" i="30"/>
  <c r="L307" i="30"/>
  <c r="L330" i="30"/>
  <c r="L320" i="30"/>
  <c r="L310" i="30"/>
  <c r="L431" i="30"/>
  <c r="L325" i="30"/>
  <c r="L333" i="30"/>
  <c r="L323" i="30"/>
  <c r="L313" i="30"/>
  <c r="L303" i="30"/>
  <c r="L336" i="30"/>
  <c r="L326" i="30"/>
  <c r="L316" i="30"/>
  <c r="L306" i="30"/>
  <c r="L335" i="30"/>
  <c r="L305" i="30"/>
  <c r="L339" i="30"/>
  <c r="L329" i="30"/>
  <c r="L319" i="30"/>
  <c r="L309" i="30"/>
  <c r="L315" i="30"/>
  <c r="L334" i="30"/>
  <c r="L304" i="30"/>
  <c r="L332" i="30"/>
  <c r="L322" i="30"/>
  <c r="L312" i="30"/>
  <c r="L302" i="30"/>
  <c r="L324" i="30"/>
  <c r="L338" i="30"/>
  <c r="L328" i="30"/>
  <c r="L318" i="30"/>
  <c r="L308" i="30"/>
  <c r="L314" i="30"/>
  <c r="L331" i="30"/>
  <c r="L321" i="30"/>
  <c r="L311" i="30"/>
  <c r="L301" i="30"/>
  <c r="L169" i="30"/>
  <c r="L159" i="30"/>
  <c r="L149" i="30"/>
  <c r="L139" i="30"/>
  <c r="L129" i="30"/>
  <c r="L119" i="30"/>
  <c r="L109" i="30"/>
  <c r="L99" i="30"/>
  <c r="L89" i="30"/>
  <c r="L79" i="30"/>
  <c r="L69" i="30"/>
  <c r="L59" i="30"/>
  <c r="L49" i="30"/>
  <c r="L39" i="30"/>
  <c r="L29" i="30"/>
  <c r="L19" i="30"/>
  <c r="L171" i="30"/>
  <c r="L181" i="30"/>
  <c r="L191" i="30"/>
  <c r="L201" i="30"/>
  <c r="L211" i="30"/>
  <c r="L221" i="30"/>
  <c r="L231" i="30"/>
  <c r="L241" i="30"/>
  <c r="L251" i="30"/>
  <c r="L261" i="30"/>
  <c r="L271" i="30"/>
  <c r="L281" i="30"/>
  <c r="L291" i="30"/>
  <c r="L168" i="30"/>
  <c r="L158" i="30"/>
  <c r="L148" i="30"/>
  <c r="L138" i="30"/>
  <c r="L128" i="30"/>
  <c r="L118" i="30"/>
  <c r="L108" i="30"/>
  <c r="L98" i="30"/>
  <c r="L88" i="30"/>
  <c r="L78" i="30"/>
  <c r="L68" i="30"/>
  <c r="L58" i="30"/>
  <c r="L48" i="30"/>
  <c r="L38" i="30"/>
  <c r="L28" i="30"/>
  <c r="L18" i="30"/>
  <c r="L178" i="30"/>
  <c r="L188" i="30"/>
  <c r="L198" i="30"/>
  <c r="L208" i="30"/>
  <c r="L218" i="30"/>
  <c r="L228" i="30"/>
  <c r="L238" i="30"/>
  <c r="L248" i="30"/>
  <c r="L258" i="30"/>
  <c r="L268" i="30"/>
  <c r="L278" i="30"/>
  <c r="L288" i="30"/>
  <c r="L298" i="30"/>
  <c r="L403" i="30"/>
  <c r="L407" i="30"/>
  <c r="L406" i="30"/>
  <c r="L404" i="30"/>
  <c r="L167" i="30"/>
  <c r="L157" i="30"/>
  <c r="L147" i="30"/>
  <c r="L137" i="30"/>
  <c r="L127" i="30"/>
  <c r="L117" i="30"/>
  <c r="L107" i="30"/>
  <c r="L97" i="30"/>
  <c r="L87" i="30"/>
  <c r="L77" i="30"/>
  <c r="L67" i="30"/>
  <c r="L57" i="30"/>
  <c r="L47" i="30"/>
  <c r="L37" i="30"/>
  <c r="L27" i="30"/>
  <c r="L17" i="30"/>
  <c r="L175" i="30"/>
  <c r="L185" i="30"/>
  <c r="L195" i="30"/>
  <c r="L205" i="30"/>
  <c r="L215" i="30"/>
  <c r="L225" i="30"/>
  <c r="L235" i="30"/>
  <c r="L245" i="30"/>
  <c r="L255" i="30"/>
  <c r="L265" i="30"/>
  <c r="L275" i="30"/>
  <c r="L285" i="30"/>
  <c r="L295" i="30"/>
  <c r="L166" i="30"/>
  <c r="L156" i="30"/>
  <c r="L146" i="30"/>
  <c r="L136" i="30"/>
  <c r="L126" i="30"/>
  <c r="L116" i="30"/>
  <c r="L106" i="30"/>
  <c r="L96" i="30"/>
  <c r="L86" i="30"/>
  <c r="L76" i="30"/>
  <c r="L66" i="30"/>
  <c r="L56" i="30"/>
  <c r="L46" i="30"/>
  <c r="L36" i="30"/>
  <c r="L26" i="30"/>
  <c r="L16" i="30"/>
  <c r="L172" i="30"/>
  <c r="L182" i="30"/>
  <c r="L192" i="30"/>
  <c r="L202" i="30"/>
  <c r="L212" i="30"/>
  <c r="L222" i="30"/>
  <c r="L232" i="30"/>
  <c r="L242" i="30"/>
  <c r="L252" i="30"/>
  <c r="L262" i="30"/>
  <c r="L272" i="30"/>
  <c r="L282" i="30"/>
  <c r="L292" i="30"/>
  <c r="L377" i="30"/>
  <c r="L367" i="30"/>
  <c r="L357" i="30"/>
  <c r="L347" i="30"/>
  <c r="L380" i="30"/>
  <c r="L370" i="30"/>
  <c r="L360" i="30"/>
  <c r="L350" i="30"/>
  <c r="L340" i="30"/>
  <c r="L345" i="30"/>
  <c r="L354" i="30"/>
  <c r="L365" i="30"/>
  <c r="L383" i="30"/>
  <c r="L373" i="30"/>
  <c r="L363" i="30"/>
  <c r="L353" i="30"/>
  <c r="L343" i="30"/>
  <c r="L384" i="30"/>
  <c r="L388" i="30"/>
  <c r="L376" i="30"/>
  <c r="L366" i="30"/>
  <c r="L356" i="30"/>
  <c r="L346" i="30"/>
  <c r="L364" i="30"/>
  <c r="L379" i="30"/>
  <c r="L369" i="30"/>
  <c r="L359" i="30"/>
  <c r="L349" i="30"/>
  <c r="L385" i="30"/>
  <c r="L355" i="30"/>
  <c r="L382" i="30"/>
  <c r="L372" i="30"/>
  <c r="L362" i="30"/>
  <c r="L352" i="30"/>
  <c r="L342" i="30"/>
  <c r="L375" i="30"/>
  <c r="L378" i="30"/>
  <c r="L368" i="30"/>
  <c r="L358" i="30"/>
  <c r="L348" i="30"/>
  <c r="L381" i="30"/>
  <c r="L371" i="30"/>
  <c r="L361" i="30"/>
  <c r="L351" i="30"/>
  <c r="L341" i="30"/>
  <c r="L374" i="30"/>
  <c r="L344" i="30"/>
  <c r="L165" i="30"/>
  <c r="L155" i="30"/>
  <c r="L145" i="30"/>
  <c r="L135" i="30"/>
  <c r="L125" i="30"/>
  <c r="L115" i="30"/>
  <c r="L105" i="30"/>
  <c r="L95" i="30"/>
  <c r="L85" i="30"/>
  <c r="L75" i="30"/>
  <c r="L65" i="30"/>
  <c r="L55" i="30"/>
  <c r="L45" i="30"/>
  <c r="L35" i="30"/>
  <c r="L25" i="30"/>
  <c r="L15" i="30"/>
  <c r="L12" i="30"/>
  <c r="L179" i="30"/>
  <c r="L189" i="30"/>
  <c r="L199" i="30"/>
  <c r="L209" i="30"/>
  <c r="L219" i="30"/>
  <c r="L229" i="30"/>
  <c r="L239" i="30"/>
  <c r="L249" i="30"/>
  <c r="L259" i="30"/>
  <c r="L269" i="30"/>
  <c r="L279" i="30"/>
  <c r="L289" i="30"/>
  <c r="L299" i="30"/>
  <c r="L428" i="30"/>
  <c r="L422" i="30"/>
  <c r="L421" i="30"/>
  <c r="L429" i="30"/>
  <c r="L164" i="30"/>
  <c r="L154" i="30"/>
  <c r="L144" i="30"/>
  <c r="L134" i="30"/>
  <c r="L124" i="30"/>
  <c r="L114" i="30"/>
  <c r="L104" i="30"/>
  <c r="L94" i="30"/>
  <c r="L84" i="30"/>
  <c r="L74" i="30"/>
  <c r="L64" i="30"/>
  <c r="L54" i="30"/>
  <c r="L44" i="30"/>
  <c r="L34" i="30"/>
  <c r="L24" i="30"/>
  <c r="L14" i="30"/>
  <c r="L176" i="30"/>
  <c r="L186" i="30"/>
  <c r="L196" i="30"/>
  <c r="L206" i="30"/>
  <c r="L216" i="30"/>
  <c r="L226" i="30"/>
  <c r="L236" i="30"/>
  <c r="L246" i="30"/>
  <c r="L266" i="30"/>
  <c r="L276" i="30"/>
  <c r="L286" i="30"/>
  <c r="L296" i="30"/>
  <c r="I8" i="32"/>
  <c r="I4" i="32"/>
  <c r="G59" i="9" s="1"/>
  <c r="I6" i="32"/>
  <c r="I44" i="9" s="1"/>
  <c r="E13" i="28"/>
  <c r="AE2" i="3"/>
  <c r="Y2" i="3"/>
  <c r="V2" i="3"/>
  <c r="G21" i="10"/>
  <c r="G15" i="10"/>
  <c r="G9" i="10"/>
  <c r="AN2" i="3"/>
  <c r="G14" i="10"/>
  <c r="AK2" i="3"/>
  <c r="E22" i="32"/>
  <c r="G13" i="10"/>
  <c r="O7" i="10"/>
  <c r="E18" i="32"/>
  <c r="E3" i="28"/>
  <c r="J22" i="28" s="1"/>
  <c r="I22" i="28" s="1"/>
  <c r="O14" i="9"/>
  <c r="AB2" i="3"/>
  <c r="E48" i="28"/>
  <c r="H14" i="9"/>
  <c r="E103" i="28"/>
  <c r="H11" i="9"/>
  <c r="H10" i="9"/>
  <c r="J2" i="3"/>
  <c r="G12" i="10"/>
  <c r="G24" i="10"/>
  <c r="G12" i="9"/>
  <c r="H8" i="9"/>
  <c r="H6" i="9"/>
  <c r="H15" i="9"/>
  <c r="H12" i="9"/>
  <c r="G23" i="10"/>
  <c r="G10" i="10"/>
  <c r="F23" i="28"/>
  <c r="G20" i="10"/>
  <c r="E83" i="28"/>
  <c r="E43" i="28"/>
  <c r="G17" i="10"/>
  <c r="G5" i="10"/>
  <c r="E8" i="28"/>
  <c r="E38" i="28"/>
  <c r="E18" i="28"/>
  <c r="F63" i="28"/>
  <c r="E98" i="28"/>
  <c r="E58" i="28"/>
  <c r="E88" i="28"/>
  <c r="BH106" i="3"/>
  <c r="AP107" i="3"/>
  <c r="BB109" i="3"/>
  <c r="AJ110" i="3"/>
  <c r="BN111" i="3"/>
  <c r="AP111" i="3"/>
  <c r="AV112" i="3"/>
  <c r="BB113" i="3"/>
  <c r="AJ114" i="3"/>
  <c r="F4" i="20"/>
  <c r="BO2" i="3"/>
  <c r="A107" i="14" s="1"/>
  <c r="AV87" i="3"/>
  <c r="D76" i="14"/>
  <c r="I88" i="3"/>
  <c r="AG90" i="3"/>
  <c r="AY91" i="3"/>
  <c r="O91" i="3"/>
  <c r="BE106" i="3"/>
  <c r="AM107" i="3"/>
  <c r="BQ108" i="3"/>
  <c r="AY109" i="3"/>
  <c r="AG110" i="3"/>
  <c r="BK111" i="3"/>
  <c r="AS112" i="3"/>
  <c r="BE114" i="3"/>
  <c r="AM115" i="3"/>
  <c r="BK116" i="3"/>
  <c r="BB120" i="3"/>
  <c r="AP120" i="3"/>
  <c r="BQ121" i="3"/>
  <c r="BQ123" i="3"/>
  <c r="L114" i="3"/>
  <c r="R108" i="3"/>
  <c r="AA115" i="3"/>
  <c r="L121" i="3"/>
  <c r="R122" i="3"/>
  <c r="R118" i="3"/>
  <c r="U124" i="3"/>
  <c r="U116" i="3"/>
  <c r="E21" i="32"/>
  <c r="F11" i="10"/>
  <c r="F17" i="10"/>
  <c r="F18" i="10"/>
  <c r="F19" i="10"/>
  <c r="F20" i="10"/>
  <c r="F21" i="10"/>
  <c r="F22" i="10"/>
  <c r="F23" i="10"/>
  <c r="F24" i="10"/>
  <c r="F16" i="10"/>
  <c r="Z14" i="9"/>
  <c r="E3" i="17"/>
  <c r="K40" i="11"/>
  <c r="F52" i="3"/>
  <c r="AA86" i="3"/>
  <c r="BQ87" i="3"/>
  <c r="X87" i="3"/>
  <c r="L87" i="3"/>
  <c r="AM88" i="3"/>
  <c r="BQ89" i="3"/>
  <c r="AA89" i="3"/>
  <c r="O89" i="3"/>
  <c r="AJ91" i="3"/>
  <c r="AD92" i="3"/>
  <c r="R92" i="3"/>
  <c r="BH93" i="3"/>
  <c r="AV93" i="3"/>
  <c r="AJ93" i="3"/>
  <c r="AD94" i="3"/>
  <c r="U94" i="3"/>
  <c r="AV95" i="3"/>
  <c r="BH107" i="3"/>
  <c r="AP108" i="3"/>
  <c r="BB110" i="3"/>
  <c r="AJ111" i="3"/>
  <c r="BN112" i="3"/>
  <c r="BH115" i="3"/>
  <c r="BK118" i="3"/>
  <c r="BN121" i="3"/>
  <c r="AJ121" i="3"/>
  <c r="AM122" i="3"/>
  <c r="BN123" i="3"/>
  <c r="BK125" i="3"/>
  <c r="AP125" i="3"/>
  <c r="D129" i="3"/>
  <c r="P7" i="4" s="1"/>
  <c r="I115" i="3"/>
  <c r="D107" i="3"/>
  <c r="R5" i="6" s="1"/>
  <c r="L109" i="3"/>
  <c r="R111" i="3"/>
  <c r="U113" i="3"/>
  <c r="U110" i="3"/>
  <c r="I122" i="3"/>
  <c r="I118" i="3"/>
  <c r="O119" i="3"/>
  <c r="AA121" i="3"/>
  <c r="S83" i="3"/>
  <c r="V78" i="3"/>
  <c r="M64" i="29"/>
  <c r="K15" i="9"/>
  <c r="O12" i="10"/>
  <c r="G16" i="10"/>
  <c r="G8" i="10"/>
  <c r="U87" i="3"/>
  <c r="X89" i="3"/>
  <c r="O92" i="3"/>
  <c r="AM94" i="3"/>
  <c r="AS95" i="3"/>
  <c r="BH118" i="3"/>
  <c r="R114" i="3"/>
  <c r="U109" i="3"/>
  <c r="E122" i="3"/>
  <c r="D10" i="4" s="1"/>
  <c r="W10" i="4" s="1"/>
  <c r="AA120" i="3"/>
  <c r="F33" i="28"/>
  <c r="K12" i="9"/>
  <c r="O11" i="10"/>
  <c r="BH86" i="3"/>
  <c r="BH88" i="3"/>
  <c r="AS93" i="3"/>
  <c r="I93" i="3"/>
  <c r="BH94" i="3"/>
  <c r="BQ114" i="3"/>
  <c r="AJ118" i="3"/>
  <c r="AY119" i="3"/>
  <c r="BK121" i="3"/>
  <c r="AM123" i="3"/>
  <c r="BB124" i="3"/>
  <c r="AP124" i="3"/>
  <c r="I114" i="3"/>
  <c r="L112" i="3"/>
  <c r="X107" i="3"/>
  <c r="AI17" i="20"/>
  <c r="AI16" i="20" s="1"/>
  <c r="U122" i="3"/>
  <c r="AA116" i="3"/>
  <c r="H11" i="11"/>
  <c r="B1" i="34"/>
  <c r="B2" i="34" s="1"/>
  <c r="D4" i="32" s="1"/>
  <c r="O12" i="9"/>
  <c r="D46" i="14"/>
  <c r="D113" i="14"/>
  <c r="F54" i="3"/>
  <c r="BH90" i="3"/>
  <c r="BN95" i="3"/>
  <c r="BN106" i="3"/>
  <c r="AV107" i="3"/>
  <c r="AM108" i="3"/>
  <c r="BH109" i="3"/>
  <c r="AP110" i="3"/>
  <c r="AG111" i="3"/>
  <c r="BK112" i="3"/>
  <c r="BB112" i="3"/>
  <c r="AS113" i="3"/>
  <c r="AJ113" i="3"/>
  <c r="AV115" i="3"/>
  <c r="BE116" i="3"/>
  <c r="AM117" i="3"/>
  <c r="BE118" i="3"/>
  <c r="AY121" i="3"/>
  <c r="BQ122" i="3"/>
  <c r="BE122" i="3"/>
  <c r="O107" i="3"/>
  <c r="U108" i="3"/>
  <c r="AD115" i="3"/>
  <c r="X120" i="3"/>
  <c r="AA119" i="3"/>
  <c r="G11" i="11"/>
  <c r="M7" i="6" s="1"/>
  <c r="N7" i="6" s="1"/>
  <c r="O10" i="9"/>
  <c r="W14" i="10"/>
  <c r="F93" i="28"/>
  <c r="D39" i="14"/>
  <c r="BE86" i="3"/>
  <c r="AG86" i="3"/>
  <c r="BK87" i="3"/>
  <c r="AY87" i="3"/>
  <c r="BE90" i="3"/>
  <c r="AD91" i="3"/>
  <c r="R93" i="3"/>
  <c r="BE94" i="3"/>
  <c r="R95" i="3"/>
  <c r="BK106" i="3"/>
  <c r="BE109" i="3"/>
  <c r="AM110" i="3"/>
  <c r="AY112" i="3"/>
  <c r="BE113" i="3"/>
  <c r="AM114" i="3"/>
  <c r="BQ115" i="3"/>
  <c r="AS115" i="3"/>
  <c r="BN116" i="3"/>
  <c r="BQ117" i="3"/>
  <c r="BE117" i="3"/>
  <c r="AG118" i="3"/>
  <c r="AS120" i="3"/>
  <c r="AG120" i="3"/>
  <c r="BN122" i="3"/>
  <c r="AS122" i="3"/>
  <c r="AJ123" i="3"/>
  <c r="AY124" i="3"/>
  <c r="I113" i="3"/>
  <c r="D106" i="3"/>
  <c r="R4" i="6" s="1"/>
  <c r="X106" i="3"/>
  <c r="AD114" i="3"/>
  <c r="AD106" i="3"/>
  <c r="O124" i="3"/>
  <c r="U121" i="3"/>
  <c r="U117" i="3"/>
  <c r="X119" i="3"/>
  <c r="AD124" i="3"/>
  <c r="M81" i="3"/>
  <c r="V83" i="3"/>
  <c r="Y84" i="3"/>
  <c r="C41" i="37"/>
  <c r="F14" i="10"/>
  <c r="O8" i="9"/>
  <c r="W11" i="10"/>
  <c r="H9" i="9"/>
  <c r="G19" i="10"/>
  <c r="G11" i="10"/>
  <c r="H20" i="10"/>
  <c r="H40" i="11"/>
  <c r="M8" i="6"/>
  <c r="N8" i="6" s="1"/>
  <c r="D127" i="3"/>
  <c r="P5" i="4" s="1"/>
  <c r="E53" i="28"/>
  <c r="BN86" i="3"/>
  <c r="O87" i="3"/>
  <c r="AJ88" i="3"/>
  <c r="O93" i="3"/>
  <c r="BH114" i="3"/>
  <c r="AM124" i="3"/>
  <c r="I106" i="3"/>
  <c r="E106" i="3"/>
  <c r="L108" i="3"/>
  <c r="O111" i="3"/>
  <c r="X112" i="3"/>
  <c r="E40" i="11"/>
  <c r="M5" i="6"/>
  <c r="N5" i="6" s="1"/>
  <c r="E19" i="32"/>
  <c r="S6" i="9"/>
  <c r="S7" i="9"/>
  <c r="AT2" i="3"/>
  <c r="S8" i="9"/>
  <c r="D131" i="3"/>
  <c r="P9" i="4" s="1"/>
  <c r="M40" i="11"/>
  <c r="BH87" i="3"/>
  <c r="BE88" i="3"/>
  <c r="BE92" i="3"/>
  <c r="AG93" i="3"/>
  <c r="AY95" i="3"/>
  <c r="AS106" i="3"/>
  <c r="AG121" i="3"/>
  <c r="AG125" i="3"/>
  <c r="L115" i="3"/>
  <c r="E119" i="3"/>
  <c r="D7" i="4" s="1"/>
  <c r="D110" i="3"/>
  <c r="BB88" i="3"/>
  <c r="BB89" i="3"/>
  <c r="BB119" i="3"/>
  <c r="BK123" i="3"/>
  <c r="O116" i="3"/>
  <c r="E17" i="32"/>
  <c r="Q13" i="9"/>
  <c r="Q6" i="9"/>
  <c r="Q83" i="9" s="1"/>
  <c r="Q8" i="9"/>
  <c r="V6" i="10"/>
  <c r="I40" i="11"/>
  <c r="M9" i="6"/>
  <c r="N9" i="6" s="1"/>
  <c r="P17" i="20"/>
  <c r="P16" i="20" s="1"/>
  <c r="E171" i="9"/>
  <c r="C20" i="39" s="1"/>
  <c r="AJ86" i="3"/>
  <c r="AG87" i="3"/>
  <c r="AY108" i="3"/>
  <c r="AP109" i="3"/>
  <c r="AG109" i="3"/>
  <c r="BB111" i="3"/>
  <c r="G4" i="20"/>
  <c r="O109" i="3"/>
  <c r="D112" i="3"/>
  <c r="U120" i="3"/>
  <c r="B1" i="33"/>
  <c r="B2" i="33" s="1"/>
  <c r="C5" i="32" s="1"/>
  <c r="E16" i="32"/>
  <c r="D47" i="14"/>
  <c r="AZ17" i="20"/>
  <c r="AZ16" i="20" s="1"/>
  <c r="E15" i="32"/>
  <c r="D11" i="11"/>
  <c r="F61" i="3"/>
  <c r="E78" i="28"/>
  <c r="E20" i="32"/>
  <c r="D116" i="14"/>
  <c r="AY92" i="3"/>
  <c r="AA93" i="3"/>
  <c r="AS94" i="3"/>
  <c r="AY120" i="3"/>
  <c r="D122" i="3"/>
  <c r="C10" i="4" s="1"/>
  <c r="V10" i="4" s="1"/>
  <c r="BQ125" i="3"/>
  <c r="L113" i="3"/>
  <c r="I125" i="3"/>
  <c r="I117" i="3"/>
  <c r="E17" i="20" s="1"/>
  <c r="R125" i="3"/>
  <c r="Q11" i="9"/>
  <c r="Y5" i="10"/>
  <c r="Y11" i="10"/>
  <c r="I5" i="10"/>
  <c r="I9" i="10"/>
  <c r="M7" i="9"/>
  <c r="M11" i="9"/>
  <c r="M12" i="9"/>
  <c r="M13" i="9"/>
  <c r="M14" i="9"/>
  <c r="Y14" i="10"/>
  <c r="D14" i="20"/>
  <c r="I116" i="3"/>
  <c r="X13" i="10"/>
  <c r="X5" i="10"/>
  <c r="S9" i="9"/>
  <c r="Y13" i="10"/>
  <c r="AV92" i="3"/>
  <c r="BQ120" i="3"/>
  <c r="I124" i="3"/>
  <c r="AD123" i="3"/>
  <c r="F57" i="3"/>
  <c r="D71" i="3"/>
  <c r="BB86" i="3"/>
  <c r="AD86" i="3"/>
  <c r="AA87" i="3"/>
  <c r="BQ91" i="3"/>
  <c r="AA91" i="3"/>
  <c r="E116" i="3"/>
  <c r="D4" i="4" s="1"/>
  <c r="W4" i="4" s="1"/>
  <c r="AA123" i="3"/>
  <c r="AD122" i="3"/>
  <c r="U9" i="9"/>
  <c r="Z5" i="10"/>
  <c r="D86" i="3"/>
  <c r="D41" i="14"/>
  <c r="D43" i="14"/>
  <c r="AG108" i="3"/>
  <c r="BK109" i="3"/>
  <c r="AS110" i="3"/>
  <c r="AM113" i="3"/>
  <c r="G13" i="9"/>
  <c r="D108" i="3"/>
  <c r="B24" i="35"/>
  <c r="B16" i="35"/>
  <c r="E13" i="32" s="1"/>
  <c r="U5" i="10"/>
  <c r="U12" i="10"/>
  <c r="U13" i="10"/>
  <c r="U14" i="10"/>
  <c r="AV86" i="3"/>
  <c r="AP88" i="3"/>
  <c r="AP93" i="3"/>
  <c r="BH95" i="3"/>
  <c r="O95" i="3"/>
  <c r="AY117" i="3"/>
  <c r="AV118" i="3"/>
  <c r="AY123" i="3"/>
  <c r="E115" i="3"/>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BQ116" i="3"/>
  <c r="BK120" i="3"/>
  <c r="AG123" i="3"/>
  <c r="I112" i="3"/>
  <c r="AA118" i="3"/>
  <c r="O10" i="10"/>
  <c r="G40" i="11"/>
  <c r="AH2" i="3"/>
  <c r="F13"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H59" i="9" s="1"/>
  <c r="AV113" i="3"/>
  <c r="E113" i="3"/>
  <c r="S11" i="6" s="1"/>
  <c r="D109" i="3"/>
  <c r="R7" i="6" s="1"/>
  <c r="AG112" i="3"/>
  <c r="F50" i="3"/>
  <c r="AH79" i="3"/>
  <c r="AZ84" i="3"/>
  <c r="D42" i="14"/>
  <c r="AS90" i="3"/>
  <c r="X90" i="3"/>
  <c r="U91" i="3"/>
  <c r="D93" i="3"/>
  <c r="U95" i="3"/>
  <c r="BE107" i="3"/>
  <c r="AV108" i="3"/>
  <c r="BQ109" i="3"/>
  <c r="BH110" i="3"/>
  <c r="AY110" i="3"/>
  <c r="BN115" i="3"/>
  <c r="BE115" i="3"/>
  <c r="AJ117" i="3"/>
  <c r="AJ120" i="3"/>
  <c r="AY122" i="3"/>
  <c r="AS124" i="3"/>
  <c r="AS125" i="3"/>
  <c r="E109" i="3"/>
  <c r="F109" i="3" s="1"/>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R123" i="3"/>
  <c r="M55" i="29"/>
  <c r="M59" i="29"/>
  <c r="M63" i="29"/>
  <c r="M54" i="29"/>
  <c r="M57" i="29"/>
  <c r="M61" i="29"/>
  <c r="M44" i="29"/>
  <c r="M48" i="29"/>
  <c r="M52" i="29"/>
  <c r="M56" i="29"/>
  <c r="M60" i="29"/>
  <c r="I55" i="37"/>
  <c r="I36" i="37"/>
  <c r="I19" i="37"/>
  <c r="I10" i="37"/>
  <c r="C4" i="37"/>
  <c r="I24" i="37"/>
  <c r="I40" i="37"/>
  <c r="I14" i="37"/>
  <c r="I5" i="37"/>
  <c r="I58" i="37"/>
  <c r="I57" i="37"/>
  <c r="I56" i="37"/>
  <c r="I62" i="37"/>
  <c r="I61" i="37"/>
  <c r="I53" i="37"/>
  <c r="I60" i="37"/>
  <c r="M62" i="29"/>
  <c r="M46" i="29"/>
  <c r="M43" i="29"/>
  <c r="M42" i="29"/>
  <c r="M58" i="29"/>
  <c r="S7" i="6"/>
  <c r="R6" i="6"/>
  <c r="H6" i="4"/>
  <c r="S13" i="6"/>
  <c r="AR4" i="20"/>
  <c r="D90" i="3"/>
  <c r="AS123" i="3"/>
  <c r="L89" i="3"/>
  <c r="AS116" i="3"/>
  <c r="BK117" i="3"/>
  <c r="J6" i="9"/>
  <c r="J10" i="9"/>
  <c r="J14" i="9"/>
  <c r="J37" i="9"/>
  <c r="J7" i="9"/>
  <c r="J8" i="9"/>
  <c r="J9" i="9"/>
  <c r="J11" i="9"/>
  <c r="J12" i="9"/>
  <c r="J13" i="9"/>
  <c r="J15" i="9"/>
  <c r="H7" i="4"/>
  <c r="O121" i="3"/>
  <c r="E121" i="3"/>
  <c r="D9" i="4" s="1"/>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9" i="9"/>
  <c r="I13" i="9"/>
  <c r="I6" i="9"/>
  <c r="I7" i="9"/>
  <c r="I8" i="9"/>
  <c r="I10" i="9"/>
  <c r="I11" i="9"/>
  <c r="I12" i="9"/>
  <c r="I14" i="9"/>
  <c r="I15" i="9"/>
  <c r="AH17" i="20"/>
  <c r="AH16" i="20" s="1"/>
  <c r="D117" i="3"/>
  <c r="C5" i="4" s="1"/>
  <c r="V5" i="4" s="1"/>
  <c r="F17" i="20"/>
  <c r="F16" i="20" s="1"/>
  <c r="R86" i="3"/>
  <c r="D89" i="3"/>
  <c r="BB90" i="3"/>
  <c r="AM93" i="3"/>
  <c r="AS121" i="3"/>
  <c r="L111" i="3"/>
  <c r="AJ4" i="20" s="1"/>
  <c r="D111" i="3"/>
  <c r="I4" i="20"/>
  <c r="AK4" i="20"/>
  <c r="F40" i="11"/>
  <c r="M6" i="6"/>
  <c r="N6" i="6" s="1"/>
  <c r="D88" i="3"/>
  <c r="O17" i="20"/>
  <c r="O16" i="20" s="1"/>
  <c r="P2" i="3"/>
  <c r="F12" i="3"/>
  <c r="D74" i="3"/>
  <c r="E89" i="3"/>
  <c r="I89" i="3"/>
  <c r="D114"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43" i="9"/>
  <c r="F63" i="9"/>
  <c r="F44" i="9"/>
  <c r="F59" i="9"/>
  <c r="F60" i="9"/>
  <c r="F13" i="9"/>
  <c r="F61" i="9"/>
  <c r="F39" i="9"/>
  <c r="F64" i="9"/>
  <c r="F40" i="9"/>
  <c r="F65" i="9"/>
  <c r="F41" i="9"/>
  <c r="F66" i="9"/>
  <c r="F45" i="9"/>
  <c r="F46" i="9"/>
  <c r="F6" i="9"/>
  <c r="F7" i="9"/>
  <c r="F79" i="9" s="1"/>
  <c r="F8" i="9"/>
  <c r="F9" i="9"/>
  <c r="F10" i="9"/>
  <c r="F11" i="9"/>
  <c r="F12" i="9"/>
  <c r="F14" i="9"/>
  <c r="F15" i="9"/>
  <c r="Z13" i="9"/>
  <c r="S10" i="6"/>
  <c r="F112" i="3"/>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F11" i="3"/>
  <c r="F8" i="3"/>
  <c r="F64" i="3"/>
  <c r="BE87" i="3"/>
  <c r="E114" i="3"/>
  <c r="E14" i="32"/>
  <c r="I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7" i="10"/>
  <c r="J8" i="10"/>
  <c r="J11" i="10"/>
  <c r="J12" i="10"/>
  <c r="J13" i="10"/>
  <c r="J14" i="10"/>
  <c r="R8" i="6"/>
  <c r="H8" i="4"/>
  <c r="AA108" i="3"/>
  <c r="AX4" i="20"/>
  <c r="V4" i="20"/>
  <c r="X124" i="3"/>
  <c r="E124" i="3"/>
  <c r="D12" i="4" s="1"/>
  <c r="E12" i="4" s="1"/>
  <c r="R90" i="3"/>
  <c r="X110" i="3"/>
  <c r="AU4" i="20"/>
  <c r="BK93" i="3"/>
  <c r="AV116" i="3"/>
  <c r="I109" i="3"/>
  <c r="D123" i="3"/>
  <c r="C11" i="4" s="1"/>
  <c r="V11" i="4" s="1"/>
  <c r="U119" i="3"/>
  <c r="Q17" i="20" s="1"/>
  <c r="Q16" i="20" s="1"/>
  <c r="M41" i="29"/>
  <c r="U20" i="29"/>
  <c r="K2" i="29"/>
  <c r="D41" i="29"/>
  <c r="E117" i="3"/>
  <c r="D5" i="4" s="1"/>
  <c r="W5" i="4" s="1"/>
  <c r="D115" i="3"/>
  <c r="J4" i="20"/>
  <c r="E108" i="3"/>
  <c r="AK17" i="20"/>
  <c r="AK16" i="20" s="1"/>
  <c r="I17" i="20"/>
  <c r="I16" i="20" s="1"/>
  <c r="E123" i="3"/>
  <c r="D11" i="4" s="1"/>
  <c r="E95" i="3"/>
  <c r="E68" i="28"/>
  <c r="F62" i="3"/>
  <c r="BK89" i="3"/>
  <c r="BB92" i="3"/>
  <c r="E92" i="3"/>
  <c r="D126" i="3"/>
  <c r="P4" i="4" s="1"/>
  <c r="D134" i="3"/>
  <c r="P12" i="4" s="1"/>
  <c r="U38" i="9"/>
  <c r="U46" i="9"/>
  <c r="U59" i="9"/>
  <c r="U63" i="9"/>
  <c r="U37" i="9"/>
  <c r="U39" i="9"/>
  <c r="U40" i="9"/>
  <c r="U60" i="9"/>
  <c r="U64" i="9"/>
  <c r="U61" i="9"/>
  <c r="U62" i="9"/>
  <c r="U44" i="9"/>
  <c r="U58" i="9"/>
  <c r="U57" i="9"/>
  <c r="U13" i="9"/>
  <c r="U92" i="9" s="1"/>
  <c r="U65" i="9"/>
  <c r="U41" i="9"/>
  <c r="U43" i="9"/>
  <c r="U45" i="9"/>
  <c r="U42" i="9"/>
  <c r="U66" i="9"/>
  <c r="U11" i="9"/>
  <c r="U12" i="9"/>
  <c r="U14" i="9"/>
  <c r="U15" i="9"/>
  <c r="U6" i="9"/>
  <c r="U83" i="9" s="1"/>
  <c r="U7" i="9"/>
  <c r="U95" i="9" s="1"/>
  <c r="U8" i="9"/>
  <c r="U80" i="9" s="1"/>
  <c r="AZ2" i="3"/>
  <c r="C29" i="37"/>
  <c r="J40" i="11"/>
  <c r="M10" i="6"/>
  <c r="N10" i="6" s="1"/>
  <c r="U107" i="3"/>
  <c r="F28" i="28"/>
  <c r="E28" i="28"/>
  <c r="D120" i="3"/>
  <c r="C8" i="4" s="1"/>
  <c r="V8" i="4" s="1"/>
  <c r="E91" i="3"/>
  <c r="F60" i="3"/>
  <c r="D72" i="3"/>
  <c r="D91" i="3"/>
  <c r="D133" i="3"/>
  <c r="P11" i="4" s="1"/>
  <c r="S20" i="37"/>
  <c r="G2" i="37"/>
  <c r="L40" i="11"/>
  <c r="M12" i="6"/>
  <c r="N12" i="6" s="1"/>
  <c r="F58" i="3"/>
  <c r="D75" i="3"/>
  <c r="E86" i="3"/>
  <c r="D87" i="3"/>
  <c r="E88" i="3"/>
  <c r="D94" i="3"/>
  <c r="AX17" i="20"/>
  <c r="AX16" i="20" s="1"/>
  <c r="V17" i="20"/>
  <c r="V16" i="20" s="1"/>
  <c r="H10" i="4"/>
  <c r="R10" i="6"/>
  <c r="O90" i="3"/>
  <c r="U93" i="3"/>
  <c r="F93" i="3" s="1"/>
  <c r="E93" i="3"/>
  <c r="E120" i="3"/>
  <c r="D8" i="4" s="1"/>
  <c r="I120" i="3"/>
  <c r="D116" i="3"/>
  <c r="C4" i="4" s="1"/>
  <c r="D118" i="14"/>
  <c r="F56" i="3"/>
  <c r="I87" i="3"/>
  <c r="AS91" i="3"/>
  <c r="E94" i="3"/>
  <c r="D12" i="14"/>
  <c r="D95" i="3"/>
  <c r="L95" i="3"/>
  <c r="D132" i="3"/>
  <c r="P10" i="4" s="1"/>
  <c r="AN4" i="20"/>
  <c r="AQ17" i="20"/>
  <c r="AQ16" i="20" s="1"/>
  <c r="S2" i="3"/>
  <c r="G20" i="39"/>
  <c r="G21" i="39"/>
  <c r="D44" i="14"/>
  <c r="D74" i="14"/>
  <c r="D66" i="3"/>
  <c r="D68" i="3"/>
  <c r="AK76" i="3"/>
  <c r="BL80" i="3"/>
  <c r="BC83" i="3"/>
  <c r="AV94" i="3"/>
  <c r="H4" i="20"/>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E90" i="3"/>
  <c r="D135" i="3"/>
  <c r="P13" i="4" s="1"/>
  <c r="AH4" i="20"/>
  <c r="L110" i="3"/>
  <c r="AG92" i="3"/>
  <c r="AL17" i="20"/>
  <c r="AL16" i="20" s="1"/>
  <c r="C11" i="11"/>
  <c r="S17" i="20"/>
  <c r="S16" i="20" s="1"/>
  <c r="F106" i="3"/>
  <c r="S4" i="6"/>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64" i="10" s="1"/>
  <c r="T15" i="10"/>
  <c r="T16" i="10"/>
  <c r="T13" i="10"/>
  <c r="T17" i="10"/>
  <c r="T18" i="10"/>
  <c r="T19" i="10"/>
  <c r="T20" i="10"/>
  <c r="T22" i="10"/>
  <c r="T23" i="10"/>
  <c r="T24" i="10"/>
  <c r="T5" i="10"/>
  <c r="T6" i="10"/>
  <c r="T7" i="10"/>
  <c r="T10" i="10"/>
  <c r="T11" i="10"/>
  <c r="T12" i="10"/>
  <c r="T14" i="10"/>
  <c r="R87" i="3"/>
  <c r="AP123" i="3"/>
  <c r="AQ4" i="20"/>
  <c r="O4" i="20"/>
  <c r="BH89" i="3"/>
  <c r="D92" i="3"/>
  <c r="I92" i="3"/>
  <c r="BK122" i="3"/>
  <c r="R110" i="3"/>
  <c r="U106" i="3"/>
  <c r="L116" i="3"/>
  <c r="G17" i="20"/>
  <c r="G16" i="20" s="1"/>
  <c r="AP89" i="3"/>
  <c r="BA17" i="20"/>
  <c r="BA16" i="20" s="1"/>
  <c r="AD116" i="3"/>
  <c r="D67" i="3"/>
  <c r="I86" i="3"/>
  <c r="BN90" i="3"/>
  <c r="L90" i="3"/>
  <c r="BB91" i="3"/>
  <c r="R91" i="3"/>
  <c r="BN92" i="3"/>
  <c r="AD95" i="3"/>
  <c r="U4" i="20"/>
  <c r="AA125" i="3"/>
  <c r="BB87" i="3"/>
  <c r="AG95" i="3"/>
  <c r="AJ119" i="3"/>
  <c r="AP122" i="3"/>
  <c r="D40" i="14"/>
  <c r="D82" i="14"/>
  <c r="P4" i="20"/>
  <c r="AR17" i="20"/>
  <c r="AR16" i="20" s="1"/>
  <c r="F5" i="3"/>
  <c r="C11" i="6"/>
  <c r="F11" i="4"/>
  <c r="F14" i="3"/>
  <c r="D70" i="3"/>
  <c r="BE89" i="3"/>
  <c r="AA92" i="3"/>
  <c r="AL4" i="20"/>
  <c r="O106" i="3"/>
  <c r="R109" i="3"/>
  <c r="R4" i="20"/>
  <c r="AT4" i="20"/>
  <c r="C3" i="32"/>
  <c r="M7" i="10"/>
  <c r="F10" i="4"/>
  <c r="C10" i="6"/>
  <c r="C12" i="6"/>
  <c r="F12" i="4"/>
  <c r="D8" i="14"/>
  <c r="I90" i="3"/>
  <c r="AJ112" i="3"/>
  <c r="S4" i="20"/>
  <c r="X108" i="3"/>
  <c r="AV4" i="20" s="1"/>
  <c r="Y17" i="20"/>
  <c r="Y16" i="20" s="1"/>
  <c r="C13" i="6"/>
  <c r="C14" i="6" s="1"/>
  <c r="F13" i="4"/>
  <c r="BB114" i="3"/>
  <c r="N19" i="10"/>
  <c r="N6" i="10"/>
  <c r="N24" i="10"/>
  <c r="N11" i="10"/>
  <c r="N15" i="10"/>
  <c r="N16" i="10"/>
  <c r="N17" i="10"/>
  <c r="N18" i="10"/>
  <c r="N20" i="10"/>
  <c r="N21" i="10"/>
  <c r="N22" i="10"/>
  <c r="N23" i="10"/>
  <c r="N5" i="10"/>
  <c r="N7" i="10"/>
  <c r="N8" i="10"/>
  <c r="N9" i="10"/>
  <c r="N10" i="10"/>
  <c r="N12" i="10"/>
  <c r="N13" i="10"/>
  <c r="N14" i="10"/>
  <c r="L86" i="3"/>
  <c r="BE91" i="3"/>
  <c r="W4" i="20"/>
  <c r="AW4" i="20"/>
  <c r="E107" i="3"/>
  <c r="F6" i="3"/>
  <c r="F46" i="3"/>
  <c r="AM106" i="3"/>
  <c r="BQ107" i="3"/>
  <c r="BN113" i="3"/>
  <c r="E111" i="3"/>
  <c r="D121" i="3"/>
  <c r="C9" i="4" s="1"/>
  <c r="V9" i="4" s="1"/>
  <c r="J17" i="20"/>
  <c r="J16" i="20" s="1"/>
  <c r="O117" i="3"/>
  <c r="U17" i="20"/>
  <c r="U16" i="20" s="1"/>
  <c r="X17" i="20"/>
  <c r="X16" i="20" s="1"/>
  <c r="D130" i="3"/>
  <c r="P8" i="4" s="1"/>
  <c r="D128" i="3"/>
  <c r="P6" i="4" s="1"/>
  <c r="M15" i="10"/>
  <c r="M11" i="10"/>
  <c r="M16" i="10"/>
  <c r="M17" i="10"/>
  <c r="M18" i="10"/>
  <c r="M19" i="10"/>
  <c r="M20" i="10"/>
  <c r="M21" i="10"/>
  <c r="M22" i="10"/>
  <c r="M23" i="10"/>
  <c r="M8" i="10"/>
  <c r="M24" i="10"/>
  <c r="M13" i="10"/>
  <c r="M14" i="10"/>
  <c r="M5" i="10"/>
  <c r="M9" i="10"/>
  <c r="M10" i="10"/>
  <c r="M12" i="10"/>
  <c r="F9" i="3"/>
  <c r="E87" i="3"/>
  <c r="AJ106" i="3"/>
  <c r="BN107" i="3"/>
  <c r="AV114" i="3"/>
  <c r="D125" i="3"/>
  <c r="C13" i="4" s="1"/>
  <c r="V13" i="4" s="1"/>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E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38" i="9"/>
  <c r="T39" i="9"/>
  <c r="T40" i="9"/>
  <c r="T60" i="9"/>
  <c r="T64" i="9"/>
  <c r="T41" i="9"/>
  <c r="T61" i="9"/>
  <c r="T62" i="9"/>
  <c r="T63" i="9"/>
  <c r="T7" i="9"/>
  <c r="T45" i="9"/>
  <c r="T57" i="9"/>
  <c r="T43" i="9"/>
  <c r="T46" i="9"/>
  <c r="T65" i="9"/>
  <c r="T37" i="9"/>
  <c r="T8" i="9"/>
  <c r="T59" i="9"/>
  <c r="T12" i="9"/>
  <c r="T58" i="9"/>
  <c r="T42" i="9"/>
  <c r="T66" i="9"/>
  <c r="T44" i="9"/>
  <c r="T6" i="9"/>
  <c r="T9" i="9"/>
  <c r="T10" i="9"/>
  <c r="T11" i="9"/>
  <c r="T86" i="9" s="1"/>
  <c r="T13" i="9"/>
  <c r="T14" i="9"/>
  <c r="T15" i="9"/>
  <c r="F8" i="10"/>
  <c r="F15" i="10"/>
  <c r="F12" i="10"/>
  <c r="F56" i="10" s="1"/>
  <c r="F5" i="10"/>
  <c r="F6" i="10"/>
  <c r="F7" i="10"/>
  <c r="F9" i="10"/>
  <c r="BH122" i="3"/>
  <c r="L119" i="3"/>
  <c r="S39" i="9"/>
  <c r="S37" i="9"/>
  <c r="S40" i="9"/>
  <c r="S60" i="9"/>
  <c r="S64" i="9"/>
  <c r="S41" i="9"/>
  <c r="S42" i="9"/>
  <c r="S45" i="9"/>
  <c r="S13" i="9"/>
  <c r="S43" i="9"/>
  <c r="S65" i="9"/>
  <c r="S10" i="9"/>
  <c r="S62" i="9"/>
  <c r="S59" i="9"/>
  <c r="S15" i="9"/>
  <c r="S61" i="9"/>
  <c r="S38" i="9"/>
  <c r="S58" i="9"/>
  <c r="S66" i="9"/>
  <c r="S44" i="9"/>
  <c r="S63" i="9"/>
  <c r="S46" i="9"/>
  <c r="S57" i="9"/>
  <c r="S12" i="9"/>
  <c r="S14" i="9"/>
  <c r="I45" i="37"/>
  <c r="Q13" i="10"/>
  <c r="R38" i="9"/>
  <c r="R41" i="9"/>
  <c r="R42" i="9"/>
  <c r="R43" i="9"/>
  <c r="R40" i="9"/>
  <c r="R60" i="9"/>
  <c r="R39" i="9"/>
  <c r="R37" i="9"/>
  <c r="R62" i="9"/>
  <c r="R59" i="9"/>
  <c r="R45" i="9"/>
  <c r="R61" i="9"/>
  <c r="R64" i="9"/>
  <c r="R58" i="9"/>
  <c r="R9" i="9"/>
  <c r="R66" i="9"/>
  <c r="R44" i="9"/>
  <c r="R63" i="9"/>
  <c r="R46" i="9"/>
  <c r="R57" i="9"/>
  <c r="R65" i="9"/>
  <c r="R6" i="9"/>
  <c r="R7" i="9"/>
  <c r="R8" i="9"/>
  <c r="R80" i="9" s="1"/>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E125" i="3"/>
  <c r="D13" i="4" s="1"/>
  <c r="W13" i="4" s="1"/>
  <c r="AQ2" i="3"/>
  <c r="Q23" i="10"/>
  <c r="Q15" i="10"/>
  <c r="Q7" i="10"/>
  <c r="Q18" i="10"/>
  <c r="Q10" i="10"/>
  <c r="Q19" i="10"/>
  <c r="Q20" i="10"/>
  <c r="Q21" i="10"/>
  <c r="Q22" i="10"/>
  <c r="Q14" i="10"/>
  <c r="Q59" i="10" s="1"/>
  <c r="Q24" i="10"/>
  <c r="Q16" i="10"/>
  <c r="Q17" i="10"/>
  <c r="Q5" i="10"/>
  <c r="Q62" i="10" s="1"/>
  <c r="Q6" i="10"/>
  <c r="I9" i="37"/>
  <c r="C53" i="37"/>
  <c r="S11" i="10"/>
  <c r="F9" i="4"/>
  <c r="C9" i="6"/>
  <c r="P22" i="10"/>
  <c r="P12" i="10"/>
  <c r="P15" i="10"/>
  <c r="P16" i="10"/>
  <c r="P17" i="10"/>
  <c r="P7" i="10"/>
  <c r="P18" i="10"/>
  <c r="P19" i="10"/>
  <c r="P20" i="10"/>
  <c r="P21" i="10"/>
  <c r="P23" i="10"/>
  <c r="P24" i="10"/>
  <c r="P5" i="10"/>
  <c r="P6" i="10"/>
  <c r="P8" i="10"/>
  <c r="P9" i="10"/>
  <c r="P10" i="10"/>
  <c r="P11" i="10"/>
  <c r="P13" i="10"/>
  <c r="P14" i="10"/>
  <c r="K43" i="9"/>
  <c r="K46" i="9"/>
  <c r="K62" i="9"/>
  <c r="K66" i="9"/>
  <c r="K57" i="9"/>
  <c r="K13" i="9"/>
  <c r="K37" i="9"/>
  <c r="K42" i="9"/>
  <c r="K63" i="9"/>
  <c r="K64" i="9"/>
  <c r="K65" i="9"/>
  <c r="K45" i="9"/>
  <c r="K61" i="9"/>
  <c r="K40" i="9"/>
  <c r="K7" i="9"/>
  <c r="K60" i="9"/>
  <c r="K44" i="9"/>
  <c r="K59" i="9"/>
  <c r="K39" i="9"/>
  <c r="K41" i="9"/>
  <c r="K6" i="9"/>
  <c r="K8" i="9"/>
  <c r="K9" i="9"/>
  <c r="I34" i="37"/>
  <c r="K10" i="9"/>
  <c r="S11" i="9"/>
  <c r="S10" i="10"/>
  <c r="O19"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2" i="37"/>
  <c r="I44" i="37"/>
  <c r="M8" i="9"/>
  <c r="O7" i="9"/>
  <c r="V14" i="9"/>
  <c r="O6" i="10"/>
  <c r="U9" i="10"/>
  <c r="W10" i="10"/>
  <c r="Y10" i="10"/>
  <c r="I6" i="37"/>
  <c r="I59" i="37"/>
  <c r="V13" i="9"/>
  <c r="U8" i="10"/>
  <c r="W8" i="10"/>
  <c r="Y9" i="10"/>
  <c r="I39" i="37"/>
  <c r="I22" i="37"/>
  <c r="I51" i="37"/>
  <c r="I43" i="37"/>
  <c r="N15" i="9"/>
  <c r="P13" i="9"/>
  <c r="V12" i="9"/>
  <c r="U6" i="10"/>
  <c r="U56" i="10" s="1"/>
  <c r="W6" i="10"/>
  <c r="Y8" i="10"/>
  <c r="L15" i="9"/>
  <c r="N14" i="9"/>
  <c r="P12" i="9"/>
  <c r="V9" i="9"/>
  <c r="Y7" i="10"/>
  <c r="I38" i="37"/>
  <c r="I30" i="37"/>
  <c r="I21" i="37"/>
  <c r="L14" i="9"/>
  <c r="N13" i="9"/>
  <c r="P11" i="9"/>
  <c r="V8" i="9"/>
  <c r="Y6" i="10"/>
  <c r="Q93" i="9"/>
  <c r="Q85" i="9"/>
  <c r="Q40" i="9"/>
  <c r="Q39" i="9"/>
  <c r="Q60" i="9"/>
  <c r="Q64" i="9"/>
  <c r="Q82" i="9"/>
  <c r="Q42" i="9"/>
  <c r="Q43" i="9"/>
  <c r="Q81" i="9"/>
  <c r="Q44" i="9"/>
  <c r="Q61" i="9"/>
  <c r="Q65" i="9"/>
  <c r="Q88" i="9"/>
  <c r="Q95" i="9"/>
  <c r="Q9" i="9"/>
  <c r="Q58" i="9"/>
  <c r="Q5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92" i="9"/>
  <c r="P40" i="9"/>
  <c r="P41" i="9"/>
  <c r="P43" i="9"/>
  <c r="P44" i="9"/>
  <c r="P61" i="9"/>
  <c r="P65" i="9"/>
  <c r="P45" i="9"/>
  <c r="P57" i="9"/>
  <c r="P60" i="9"/>
  <c r="P15" i="9"/>
  <c r="P62" i="9"/>
  <c r="P14" i="9"/>
  <c r="P64" i="9"/>
  <c r="P66" i="9"/>
  <c r="P6" i="9"/>
  <c r="P96" i="9" s="1"/>
  <c r="P42" i="9"/>
  <c r="P63" i="9"/>
  <c r="P46" i="9"/>
  <c r="P37" i="9"/>
  <c r="I49" i="37"/>
  <c r="I41" i="37"/>
  <c r="L11" i="9"/>
  <c r="N9" i="9"/>
  <c r="P9" i="9"/>
  <c r="V11" i="10"/>
  <c r="G7" i="9"/>
  <c r="G6" i="9"/>
  <c r="G89" i="9" s="1"/>
  <c r="G11" i="9"/>
  <c r="X65" i="10"/>
  <c r="X62" i="10"/>
  <c r="X59" i="10"/>
  <c r="X57" i="10"/>
  <c r="X64" i="10"/>
  <c r="X58" i="10"/>
  <c r="X63" i="10"/>
  <c r="X56" i="10"/>
  <c r="X17" i="10"/>
  <c r="X60" i="10"/>
  <c r="X18" i="10"/>
  <c r="X61" i="10"/>
  <c r="X15" i="10"/>
  <c r="X16" i="10"/>
  <c r="X19" i="10"/>
  <c r="X6" i="10"/>
  <c r="X20" i="10"/>
  <c r="X21" i="10"/>
  <c r="X22" i="10"/>
  <c r="X23" i="10"/>
  <c r="X10" i="10"/>
  <c r="X24" i="10"/>
  <c r="O41" i="9"/>
  <c r="O42" i="9"/>
  <c r="O44" i="9"/>
  <c r="O61" i="9"/>
  <c r="O65" i="9"/>
  <c r="O45" i="9"/>
  <c r="O57" i="9"/>
  <c r="O46" i="9"/>
  <c r="O40" i="9"/>
  <c r="O43" i="9"/>
  <c r="O38" i="9"/>
  <c r="O66"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43" i="9"/>
  <c r="N45" i="9"/>
  <c r="N57" i="9"/>
  <c r="N46" i="9"/>
  <c r="N11" i="9"/>
  <c r="N44" i="9"/>
  <c r="N66" i="9"/>
  <c r="N12" i="9"/>
  <c r="N41" i="9"/>
  <c r="N64" i="9"/>
  <c r="N61" i="9"/>
  <c r="N42" i="9"/>
  <c r="N63" i="9"/>
  <c r="N40" i="9"/>
  <c r="N60" i="9"/>
  <c r="N37" i="9"/>
  <c r="N62" i="9"/>
  <c r="N65"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66" i="9"/>
  <c r="M45" i="9"/>
  <c r="M6" i="9"/>
  <c r="M10" i="9"/>
  <c r="C16" i="37"/>
  <c r="I63" i="37"/>
  <c r="N6" i="9"/>
  <c r="Q15" i="9"/>
  <c r="I12" i="10"/>
  <c r="V8" i="10"/>
  <c r="X9" i="10"/>
  <c r="U59" i="10"/>
  <c r="U15" i="10"/>
  <c r="U60" i="10"/>
  <c r="U21" i="10"/>
  <c r="U22" i="10"/>
  <c r="U23" i="10"/>
  <c r="U24" i="10"/>
  <c r="U7" i="10"/>
  <c r="U11" i="10"/>
  <c r="U16" i="10"/>
  <c r="U17" i="10"/>
  <c r="U18" i="10"/>
  <c r="U19" i="10"/>
  <c r="U20" i="10"/>
  <c r="L7" i="9"/>
  <c r="L9" i="9"/>
  <c r="L13" i="9"/>
  <c r="I35" i="37"/>
  <c r="I26" i="37"/>
  <c r="I47" i="37"/>
  <c r="M15" i="9"/>
  <c r="O15" i="9"/>
  <c r="Q14" i="9"/>
  <c r="Q86" i="9" s="1"/>
  <c r="I10" i="10"/>
  <c r="O14" i="10"/>
  <c r="V7" i="10"/>
  <c r="X8" i="10"/>
  <c r="H21" i="10"/>
  <c r="H14" i="10"/>
  <c r="H19" i="10"/>
  <c r="H18" i="10"/>
  <c r="H17" i="10"/>
  <c r="H16" i="10"/>
  <c r="H15" i="10"/>
  <c r="I54" i="37"/>
  <c r="I50" i="37"/>
  <c r="I42" i="37"/>
  <c r="T14" i="37" s="1"/>
  <c r="H79" i="9"/>
  <c r="H89" i="9"/>
  <c r="H13" i="10"/>
  <c r="H12" i="10"/>
  <c r="H11" i="10"/>
  <c r="I48" i="37"/>
  <c r="H10" i="10"/>
  <c r="G56" i="10"/>
  <c r="G6" i="10"/>
  <c r="G22" i="10"/>
  <c r="H9" i="10"/>
  <c r="H24" i="10"/>
  <c r="H8" i="10"/>
  <c r="H23" i="10"/>
  <c r="H7" i="10"/>
  <c r="I37" i="37"/>
  <c r="I29" i="37"/>
  <c r="I20" i="37"/>
  <c r="I46" i="37"/>
  <c r="H13" i="9"/>
  <c r="H22" i="10"/>
  <c r="H6" i="10"/>
  <c r="H56" i="10" s="1"/>
  <c r="B7" i="35"/>
  <c r="E4" i="32" s="1"/>
  <c r="B6" i="35"/>
  <c r="E3" i="32" s="1"/>
  <c r="B8" i="35"/>
  <c r="E5" i="32" s="1"/>
  <c r="F8" i="6"/>
  <c r="L28" i="11"/>
  <c r="I9" i="6"/>
  <c r="F11" i="6"/>
  <c r="G9" i="4"/>
  <c r="F12" i="6"/>
  <c r="G13" i="4"/>
  <c r="F7" i="6"/>
  <c r="I13" i="6"/>
  <c r="I8" i="6"/>
  <c r="I6" i="4"/>
  <c r="I10" i="4"/>
  <c r="I11" i="6"/>
  <c r="J28" i="11"/>
  <c r="G6" i="4"/>
  <c r="G10" i="4"/>
  <c r="F10" i="6"/>
  <c r="U10" i="6" s="1"/>
  <c r="I12" i="6"/>
  <c r="E4" i="4"/>
  <c r="W11" i="4"/>
  <c r="X11" i="4" s="1"/>
  <c r="I5" i="6"/>
  <c r="U5" i="6" s="1"/>
  <c r="E5" i="2" s="1"/>
  <c r="I7" i="6"/>
  <c r="C8" i="6"/>
  <c r="V4" i="4"/>
  <c r="X4" i="4" s="1"/>
  <c r="E5" i="4"/>
  <c r="E7" i="4"/>
  <c r="X13" i="4"/>
  <c r="D28" i="11"/>
  <c r="K28" i="11"/>
  <c r="I28" i="11"/>
  <c r="U6" i="6"/>
  <c r="E6" i="2" s="1"/>
  <c r="X10" i="4"/>
  <c r="E10" i="4"/>
  <c r="E9" i="4"/>
  <c r="P14" i="4"/>
  <c r="L14" i="4"/>
  <c r="E6" i="4"/>
  <c r="W12" i="4"/>
  <c r="X12" i="4" s="1"/>
  <c r="C14" i="4"/>
  <c r="W7" i="4"/>
  <c r="X7" i="4" s="1"/>
  <c r="L15" i="4"/>
  <c r="AF18" i="20" s="1"/>
  <c r="AF131" i="3"/>
  <c r="AG131" i="3" s="1"/>
  <c r="AF134" i="3"/>
  <c r="AG134" i="3" s="1"/>
  <c r="AR130" i="3"/>
  <c r="AS130" i="3" s="1"/>
  <c r="H127" i="3"/>
  <c r="I127" i="3" s="1"/>
  <c r="V14" i="4"/>
  <c r="X6" i="4"/>
  <c r="W9" i="4"/>
  <c r="X9" i="4" s="1"/>
  <c r="X5" i="4"/>
  <c r="D14" i="4"/>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U4" i="6"/>
  <c r="E4" i="2" s="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H4" i="37"/>
  <c r="I4" i="37" s="1"/>
  <c r="H16" i="37"/>
  <c r="I16" i="37" s="1"/>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BJ66" i="3"/>
  <c r="BJ76" i="3" s="1"/>
  <c r="BK76" i="3" s="1"/>
  <c r="AC69" i="3"/>
  <c r="AL68" i="3"/>
  <c r="AM68" i="3" s="1"/>
  <c r="AL98" i="3" s="1"/>
  <c r="AM98" i="3" s="1"/>
  <c r="BJ72" i="3"/>
  <c r="BJ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T6" i="37" l="1"/>
  <c r="D16" i="37"/>
  <c r="T5" i="37"/>
  <c r="T24" i="37"/>
  <c r="L61" i="9"/>
  <c r="L40" i="9"/>
  <c r="L42" i="9"/>
  <c r="L45" i="9"/>
  <c r="M37" i="9"/>
  <c r="M44" i="9"/>
  <c r="L63" i="9"/>
  <c r="L37" i="9"/>
  <c r="M63" i="9"/>
  <c r="M57" i="9"/>
  <c r="M42" i="9"/>
  <c r="L64" i="9"/>
  <c r="M64" i="9"/>
  <c r="M62" i="9"/>
  <c r="L44" i="9"/>
  <c r="L65" i="9"/>
  <c r="L43" i="9"/>
  <c r="L66" i="9"/>
  <c r="M43" i="9"/>
  <c r="M46" i="9"/>
  <c r="L46" i="9"/>
  <c r="L62" i="9"/>
  <c r="M60" i="9"/>
  <c r="M41" i="9"/>
  <c r="M65" i="9"/>
  <c r="L60" i="9"/>
  <c r="L41" i="9"/>
  <c r="M40" i="9"/>
  <c r="L776" i="30"/>
  <c r="O776" i="30" s="1"/>
  <c r="P776" i="30" s="1"/>
  <c r="L784" i="30"/>
  <c r="O784" i="30" s="1"/>
  <c r="P784" i="30" s="1"/>
  <c r="L792" i="30"/>
  <c r="O792" i="30" s="1"/>
  <c r="P792" i="30" s="1"/>
  <c r="L800" i="30"/>
  <c r="O800" i="30" s="1"/>
  <c r="P800" i="30" s="1"/>
  <c r="L808" i="30"/>
  <c r="O808" i="30" s="1"/>
  <c r="P808" i="30" s="1"/>
  <c r="L781" i="30"/>
  <c r="O781" i="30" s="1"/>
  <c r="P781" i="30" s="1"/>
  <c r="L789" i="30"/>
  <c r="O789" i="30" s="1"/>
  <c r="P789" i="30" s="1"/>
  <c r="L797" i="30"/>
  <c r="O797" i="30" s="1"/>
  <c r="P797" i="30" s="1"/>
  <c r="L805" i="30"/>
  <c r="O805" i="30" s="1"/>
  <c r="P805" i="30" s="1"/>
  <c r="L813" i="30"/>
  <c r="O813" i="30" s="1"/>
  <c r="P813" i="30" s="1"/>
  <c r="L794" i="30"/>
  <c r="O794" i="30" s="1"/>
  <c r="P794" i="30" s="1"/>
  <c r="L802" i="30"/>
  <c r="O802" i="30" s="1"/>
  <c r="P802" i="30" s="1"/>
  <c r="L807" i="30"/>
  <c r="O807" i="30" s="1"/>
  <c r="P807" i="30" s="1"/>
  <c r="L803" i="30"/>
  <c r="O803" i="30" s="1"/>
  <c r="P803" i="30" s="1"/>
  <c r="L786" i="30"/>
  <c r="O786" i="30" s="1"/>
  <c r="P786" i="30" s="1"/>
  <c r="L783" i="30"/>
  <c r="O783" i="30" s="1"/>
  <c r="P783" i="30" s="1"/>
  <c r="L815" i="30"/>
  <c r="O815" i="30" s="1"/>
  <c r="P815" i="30" s="1"/>
  <c r="L790" i="30"/>
  <c r="O790" i="30" s="1"/>
  <c r="P790" i="30" s="1"/>
  <c r="L778" i="30"/>
  <c r="O778" i="30" s="1"/>
  <c r="P778" i="30" s="1"/>
  <c r="L810" i="30"/>
  <c r="O810" i="30" s="1"/>
  <c r="P810" i="30" s="1"/>
  <c r="L791" i="30"/>
  <c r="O791" i="30" s="1"/>
  <c r="P791" i="30" s="1"/>
  <c r="L799" i="30"/>
  <c r="O799" i="30" s="1"/>
  <c r="P799" i="30" s="1"/>
  <c r="L782" i="30"/>
  <c r="O782" i="30" s="1"/>
  <c r="P782" i="30" s="1"/>
  <c r="L798" i="30"/>
  <c r="O798" i="30" s="1"/>
  <c r="P798" i="30" s="1"/>
  <c r="L814" i="30"/>
  <c r="O814" i="30" s="1"/>
  <c r="P814" i="30" s="1"/>
  <c r="L811" i="30"/>
  <c r="O811" i="30" s="1"/>
  <c r="P811" i="30" s="1"/>
  <c r="L787" i="30"/>
  <c r="O787" i="30" s="1"/>
  <c r="P787" i="30" s="1"/>
  <c r="L780" i="30"/>
  <c r="O780" i="30" s="1"/>
  <c r="P780" i="30" s="1"/>
  <c r="L788" i="30"/>
  <c r="O788" i="30" s="1"/>
  <c r="P788" i="30" s="1"/>
  <c r="L796" i="30"/>
  <c r="O796" i="30" s="1"/>
  <c r="P796" i="30" s="1"/>
  <c r="L804" i="30"/>
  <c r="O804" i="30" s="1"/>
  <c r="P804" i="30" s="1"/>
  <c r="L812" i="30"/>
  <c r="O812" i="30" s="1"/>
  <c r="P812" i="30" s="1"/>
  <c r="L806" i="30"/>
  <c r="O806" i="30" s="1"/>
  <c r="P806" i="30" s="1"/>
  <c r="L779" i="30"/>
  <c r="O779" i="30" s="1"/>
  <c r="P779" i="30" s="1"/>
  <c r="L777" i="30"/>
  <c r="O777" i="30" s="1"/>
  <c r="P777" i="30" s="1"/>
  <c r="L785" i="30"/>
  <c r="O785" i="30" s="1"/>
  <c r="P785" i="30" s="1"/>
  <c r="L793" i="30"/>
  <c r="O793" i="30" s="1"/>
  <c r="P793" i="30" s="1"/>
  <c r="L801" i="30"/>
  <c r="O801" i="30" s="1"/>
  <c r="P801" i="30" s="1"/>
  <c r="L809" i="30"/>
  <c r="O809" i="30" s="1"/>
  <c r="P809" i="30" s="1"/>
  <c r="L795" i="30"/>
  <c r="O795" i="30" s="1"/>
  <c r="P795" i="30" s="1"/>
  <c r="L528" i="30"/>
  <c r="O528" i="30" s="1"/>
  <c r="P528" i="30" s="1"/>
  <c r="L536" i="30"/>
  <c r="O536" i="30" s="1"/>
  <c r="P536" i="30" s="1"/>
  <c r="L544" i="30"/>
  <c r="O544" i="30" s="1"/>
  <c r="P544" i="30" s="1"/>
  <c r="L552" i="30"/>
  <c r="O552" i="30" s="1"/>
  <c r="P552" i="30" s="1"/>
  <c r="L560" i="30"/>
  <c r="O560" i="30" s="1"/>
  <c r="P560" i="30" s="1"/>
  <c r="L568" i="30"/>
  <c r="O568" i="30" s="1"/>
  <c r="P568" i="30" s="1"/>
  <c r="L576" i="30"/>
  <c r="O576" i="30" s="1"/>
  <c r="P576" i="30" s="1"/>
  <c r="L584" i="30"/>
  <c r="O584" i="30" s="1"/>
  <c r="P584" i="30" s="1"/>
  <c r="L592" i="30"/>
  <c r="O592" i="30" s="1"/>
  <c r="P592" i="30" s="1"/>
  <c r="L600" i="30"/>
  <c r="O600" i="30" s="1"/>
  <c r="P600" i="30" s="1"/>
  <c r="L608" i="30"/>
  <c r="O608" i="30" s="1"/>
  <c r="P608" i="30" s="1"/>
  <c r="L616" i="30"/>
  <c r="O616" i="30" s="1"/>
  <c r="P616" i="30" s="1"/>
  <c r="L624" i="30"/>
  <c r="O624" i="30" s="1"/>
  <c r="P624" i="30" s="1"/>
  <c r="L632" i="30"/>
  <c r="O632" i="30" s="1"/>
  <c r="P632" i="30" s="1"/>
  <c r="L640" i="30"/>
  <c r="O640" i="30" s="1"/>
  <c r="P640" i="30" s="1"/>
  <c r="L648" i="30"/>
  <c r="O648" i="30" s="1"/>
  <c r="P648" i="30" s="1"/>
  <c r="L656" i="30"/>
  <c r="O656" i="30" s="1"/>
  <c r="P656" i="30" s="1"/>
  <c r="L664" i="30"/>
  <c r="O664" i="30" s="1"/>
  <c r="P664" i="30" s="1"/>
  <c r="L672" i="30"/>
  <c r="O672" i="30" s="1"/>
  <c r="P672" i="30" s="1"/>
  <c r="L680" i="30"/>
  <c r="O680" i="30" s="1"/>
  <c r="P680" i="30" s="1"/>
  <c r="L688" i="30"/>
  <c r="O688" i="30" s="1"/>
  <c r="P688" i="30" s="1"/>
  <c r="L696" i="30"/>
  <c r="O696" i="30" s="1"/>
  <c r="P696" i="30" s="1"/>
  <c r="L704" i="30"/>
  <c r="O704" i="30" s="1"/>
  <c r="P704" i="30" s="1"/>
  <c r="L712" i="30"/>
  <c r="O712" i="30" s="1"/>
  <c r="P712" i="30" s="1"/>
  <c r="L720" i="30"/>
  <c r="O720" i="30" s="1"/>
  <c r="P720" i="30" s="1"/>
  <c r="L728" i="30"/>
  <c r="O728" i="30" s="1"/>
  <c r="P728" i="30" s="1"/>
  <c r="L736" i="30"/>
  <c r="O736" i="30" s="1"/>
  <c r="P736" i="30" s="1"/>
  <c r="L744" i="30"/>
  <c r="O744" i="30" s="1"/>
  <c r="P744" i="30" s="1"/>
  <c r="L752" i="30"/>
  <c r="O752" i="30" s="1"/>
  <c r="P752" i="30" s="1"/>
  <c r="L760" i="30"/>
  <c r="O760" i="30" s="1"/>
  <c r="P760" i="30" s="1"/>
  <c r="L768" i="30"/>
  <c r="O768" i="30" s="1"/>
  <c r="P768" i="30" s="1"/>
  <c r="L535" i="30"/>
  <c r="O535" i="30" s="1"/>
  <c r="P535" i="30" s="1"/>
  <c r="L559" i="30"/>
  <c r="O559" i="30" s="1"/>
  <c r="P559" i="30" s="1"/>
  <c r="L583" i="30"/>
  <c r="O583" i="30" s="1"/>
  <c r="P583" i="30" s="1"/>
  <c r="L599" i="30"/>
  <c r="O599" i="30" s="1"/>
  <c r="P599" i="30" s="1"/>
  <c r="L623" i="30"/>
  <c r="O623" i="30" s="1"/>
  <c r="P623" i="30" s="1"/>
  <c r="L639" i="30"/>
  <c r="O639" i="30" s="1"/>
  <c r="P639" i="30" s="1"/>
  <c r="L679" i="30"/>
  <c r="O679" i="30" s="1"/>
  <c r="P679" i="30" s="1"/>
  <c r="L711" i="30"/>
  <c r="O711" i="30" s="1"/>
  <c r="P711" i="30" s="1"/>
  <c r="L727" i="30"/>
  <c r="O727" i="30" s="1"/>
  <c r="P727" i="30" s="1"/>
  <c r="L743" i="30"/>
  <c r="O743" i="30" s="1"/>
  <c r="P743" i="30" s="1"/>
  <c r="L775" i="30"/>
  <c r="O775" i="30" s="1"/>
  <c r="P775" i="30" s="1"/>
  <c r="L630" i="30"/>
  <c r="O630" i="30" s="1"/>
  <c r="P630" i="30" s="1"/>
  <c r="L694" i="30"/>
  <c r="O694" i="30" s="1"/>
  <c r="P694" i="30" s="1"/>
  <c r="L750" i="30"/>
  <c r="O750" i="30" s="1"/>
  <c r="P750" i="30" s="1"/>
  <c r="L758" i="30"/>
  <c r="O758" i="30" s="1"/>
  <c r="P758" i="30" s="1"/>
  <c r="L766" i="30"/>
  <c r="O766" i="30" s="1"/>
  <c r="P766" i="30" s="1"/>
  <c r="L539" i="30"/>
  <c r="O539" i="30" s="1"/>
  <c r="P539" i="30" s="1"/>
  <c r="L555" i="30"/>
  <c r="O555" i="30" s="1"/>
  <c r="P555" i="30" s="1"/>
  <c r="L635" i="30"/>
  <c r="O635" i="30" s="1"/>
  <c r="P635" i="30" s="1"/>
  <c r="L715" i="30"/>
  <c r="O715" i="30" s="1"/>
  <c r="P715" i="30" s="1"/>
  <c r="L763" i="30"/>
  <c r="O763" i="30" s="1"/>
  <c r="P763" i="30" s="1"/>
  <c r="L771" i="30"/>
  <c r="O771" i="30" s="1"/>
  <c r="P771" i="30" s="1"/>
  <c r="L526" i="30"/>
  <c r="O526" i="30" s="1"/>
  <c r="P526" i="30" s="1"/>
  <c r="L533" i="30"/>
  <c r="O533" i="30" s="1"/>
  <c r="P533" i="30" s="1"/>
  <c r="L541" i="30"/>
  <c r="O541" i="30" s="1"/>
  <c r="P541" i="30" s="1"/>
  <c r="L549" i="30"/>
  <c r="O549" i="30" s="1"/>
  <c r="P549" i="30" s="1"/>
  <c r="L557" i="30"/>
  <c r="O557" i="30" s="1"/>
  <c r="P557" i="30" s="1"/>
  <c r="L565" i="30"/>
  <c r="O565" i="30" s="1"/>
  <c r="P565" i="30" s="1"/>
  <c r="L573" i="30"/>
  <c r="O573" i="30" s="1"/>
  <c r="P573" i="30" s="1"/>
  <c r="L581" i="30"/>
  <c r="O581" i="30" s="1"/>
  <c r="P581" i="30" s="1"/>
  <c r="L589" i="30"/>
  <c r="O589" i="30" s="1"/>
  <c r="P589" i="30" s="1"/>
  <c r="L597" i="30"/>
  <c r="O597" i="30" s="1"/>
  <c r="P597" i="30" s="1"/>
  <c r="L605" i="30"/>
  <c r="O605" i="30" s="1"/>
  <c r="P605" i="30" s="1"/>
  <c r="L613" i="30"/>
  <c r="O613" i="30" s="1"/>
  <c r="P613" i="30" s="1"/>
  <c r="L621" i="30"/>
  <c r="O621" i="30" s="1"/>
  <c r="P621" i="30" s="1"/>
  <c r="L629" i="30"/>
  <c r="O629" i="30" s="1"/>
  <c r="P629" i="30" s="1"/>
  <c r="L637" i="30"/>
  <c r="O637" i="30" s="1"/>
  <c r="P637" i="30" s="1"/>
  <c r="L645" i="30"/>
  <c r="O645" i="30" s="1"/>
  <c r="P645" i="30" s="1"/>
  <c r="L653" i="30"/>
  <c r="O653" i="30" s="1"/>
  <c r="P653" i="30" s="1"/>
  <c r="L661" i="30"/>
  <c r="O661" i="30" s="1"/>
  <c r="P661" i="30" s="1"/>
  <c r="L669" i="30"/>
  <c r="O669" i="30" s="1"/>
  <c r="P669" i="30" s="1"/>
  <c r="L677" i="30"/>
  <c r="O677" i="30" s="1"/>
  <c r="P677" i="30" s="1"/>
  <c r="L685" i="30"/>
  <c r="O685" i="30" s="1"/>
  <c r="P685" i="30" s="1"/>
  <c r="L693" i="30"/>
  <c r="O693" i="30" s="1"/>
  <c r="P693" i="30" s="1"/>
  <c r="L701" i="30"/>
  <c r="O701" i="30" s="1"/>
  <c r="P701" i="30" s="1"/>
  <c r="L709" i="30"/>
  <c r="O709" i="30" s="1"/>
  <c r="P709" i="30" s="1"/>
  <c r="L717" i="30"/>
  <c r="O717" i="30" s="1"/>
  <c r="P717" i="30" s="1"/>
  <c r="L725" i="30"/>
  <c r="O725" i="30" s="1"/>
  <c r="P725" i="30" s="1"/>
  <c r="L733" i="30"/>
  <c r="O733" i="30" s="1"/>
  <c r="P733" i="30" s="1"/>
  <c r="L741" i="30"/>
  <c r="O741" i="30" s="1"/>
  <c r="P741" i="30" s="1"/>
  <c r="L749" i="30"/>
  <c r="O749" i="30" s="1"/>
  <c r="P749" i="30" s="1"/>
  <c r="L757" i="30"/>
  <c r="O757" i="30" s="1"/>
  <c r="P757" i="30" s="1"/>
  <c r="L765" i="30"/>
  <c r="O765" i="30" s="1"/>
  <c r="P765" i="30" s="1"/>
  <c r="L773" i="30"/>
  <c r="O773" i="30" s="1"/>
  <c r="P773" i="30" s="1"/>
  <c r="L543" i="30"/>
  <c r="O543" i="30" s="1"/>
  <c r="P543" i="30" s="1"/>
  <c r="L567" i="30"/>
  <c r="O567" i="30" s="1"/>
  <c r="P567" i="30" s="1"/>
  <c r="L575" i="30"/>
  <c r="O575" i="30" s="1"/>
  <c r="P575" i="30" s="1"/>
  <c r="L615" i="30"/>
  <c r="O615" i="30" s="1"/>
  <c r="P615" i="30" s="1"/>
  <c r="L655" i="30"/>
  <c r="O655" i="30" s="1"/>
  <c r="P655" i="30" s="1"/>
  <c r="L663" i="30"/>
  <c r="O663" i="30" s="1"/>
  <c r="P663" i="30" s="1"/>
  <c r="L687" i="30"/>
  <c r="O687" i="30" s="1"/>
  <c r="P687" i="30" s="1"/>
  <c r="L695" i="30"/>
  <c r="O695" i="30" s="1"/>
  <c r="P695" i="30" s="1"/>
  <c r="L719" i="30"/>
  <c r="O719" i="30" s="1"/>
  <c r="P719" i="30" s="1"/>
  <c r="L751" i="30"/>
  <c r="O751" i="30" s="1"/>
  <c r="P751" i="30" s="1"/>
  <c r="L759" i="30"/>
  <c r="O759" i="30" s="1"/>
  <c r="P759" i="30" s="1"/>
  <c r="L767" i="30"/>
  <c r="O767" i="30" s="1"/>
  <c r="P767" i="30" s="1"/>
  <c r="L670" i="30"/>
  <c r="O670" i="30" s="1"/>
  <c r="P670" i="30" s="1"/>
  <c r="L726" i="30"/>
  <c r="O726" i="30" s="1"/>
  <c r="P726" i="30" s="1"/>
  <c r="L563" i="30"/>
  <c r="O563" i="30" s="1"/>
  <c r="P563" i="30" s="1"/>
  <c r="L579" i="30"/>
  <c r="O579" i="30" s="1"/>
  <c r="P579" i="30" s="1"/>
  <c r="L611" i="30"/>
  <c r="O611" i="30" s="1"/>
  <c r="P611" i="30" s="1"/>
  <c r="L627" i="30"/>
  <c r="O627" i="30" s="1"/>
  <c r="P627" i="30" s="1"/>
  <c r="L651" i="30"/>
  <c r="O651" i="30" s="1"/>
  <c r="P651" i="30" s="1"/>
  <c r="L683" i="30"/>
  <c r="O683" i="30" s="1"/>
  <c r="P683" i="30" s="1"/>
  <c r="L723" i="30"/>
  <c r="O723" i="30" s="1"/>
  <c r="P723" i="30" s="1"/>
  <c r="L747" i="30"/>
  <c r="O747" i="30" s="1"/>
  <c r="P747" i="30" s="1"/>
  <c r="L538" i="30"/>
  <c r="O538" i="30" s="1"/>
  <c r="P538" i="30" s="1"/>
  <c r="L546" i="30"/>
  <c r="O546" i="30" s="1"/>
  <c r="P546" i="30" s="1"/>
  <c r="L554" i="30"/>
  <c r="O554" i="30" s="1"/>
  <c r="P554" i="30" s="1"/>
  <c r="L562" i="30"/>
  <c r="O562" i="30" s="1"/>
  <c r="P562" i="30" s="1"/>
  <c r="L570" i="30"/>
  <c r="O570" i="30" s="1"/>
  <c r="P570" i="30" s="1"/>
  <c r="L578" i="30"/>
  <c r="O578" i="30" s="1"/>
  <c r="P578" i="30" s="1"/>
  <c r="L586" i="30"/>
  <c r="O586" i="30" s="1"/>
  <c r="P586" i="30" s="1"/>
  <c r="L594" i="30"/>
  <c r="O594" i="30" s="1"/>
  <c r="P594" i="30" s="1"/>
  <c r="L602" i="30"/>
  <c r="O602" i="30" s="1"/>
  <c r="P602" i="30" s="1"/>
  <c r="L610" i="30"/>
  <c r="O610" i="30" s="1"/>
  <c r="P610" i="30" s="1"/>
  <c r="L618" i="30"/>
  <c r="O618" i="30" s="1"/>
  <c r="P618" i="30" s="1"/>
  <c r="L626" i="30"/>
  <c r="O626" i="30" s="1"/>
  <c r="P626" i="30" s="1"/>
  <c r="L634" i="30"/>
  <c r="O634" i="30" s="1"/>
  <c r="P634" i="30" s="1"/>
  <c r="L642" i="30"/>
  <c r="O642" i="30" s="1"/>
  <c r="P642" i="30" s="1"/>
  <c r="L650" i="30"/>
  <c r="O650" i="30" s="1"/>
  <c r="P650" i="30" s="1"/>
  <c r="L658" i="30"/>
  <c r="O658" i="30" s="1"/>
  <c r="P658" i="30" s="1"/>
  <c r="L666" i="30"/>
  <c r="O666" i="30" s="1"/>
  <c r="P666" i="30" s="1"/>
  <c r="L674" i="30"/>
  <c r="O674" i="30" s="1"/>
  <c r="P674" i="30" s="1"/>
  <c r="L682" i="30"/>
  <c r="O682" i="30" s="1"/>
  <c r="P682" i="30" s="1"/>
  <c r="L690" i="30"/>
  <c r="O690" i="30" s="1"/>
  <c r="P690" i="30" s="1"/>
  <c r="L698" i="30"/>
  <c r="O698" i="30" s="1"/>
  <c r="P698" i="30" s="1"/>
  <c r="L706" i="30"/>
  <c r="O706" i="30" s="1"/>
  <c r="P706" i="30" s="1"/>
  <c r="L714" i="30"/>
  <c r="O714" i="30" s="1"/>
  <c r="P714" i="30" s="1"/>
  <c r="L722" i="30"/>
  <c r="O722" i="30" s="1"/>
  <c r="P722" i="30" s="1"/>
  <c r="L730" i="30"/>
  <c r="O730" i="30" s="1"/>
  <c r="P730" i="30" s="1"/>
  <c r="L738" i="30"/>
  <c r="O738" i="30" s="1"/>
  <c r="P738" i="30" s="1"/>
  <c r="L746" i="30"/>
  <c r="O746" i="30" s="1"/>
  <c r="P746" i="30" s="1"/>
  <c r="L754" i="30"/>
  <c r="O754" i="30" s="1"/>
  <c r="P754" i="30" s="1"/>
  <c r="L762" i="30"/>
  <c r="O762" i="30" s="1"/>
  <c r="P762" i="30" s="1"/>
  <c r="L770" i="30"/>
  <c r="O770" i="30" s="1"/>
  <c r="P770" i="30" s="1"/>
  <c r="L551" i="30"/>
  <c r="O551" i="30" s="1"/>
  <c r="P551" i="30" s="1"/>
  <c r="L591" i="30"/>
  <c r="O591" i="30" s="1"/>
  <c r="P591" i="30" s="1"/>
  <c r="L607" i="30"/>
  <c r="O607" i="30" s="1"/>
  <c r="P607" i="30" s="1"/>
  <c r="L631" i="30"/>
  <c r="O631" i="30" s="1"/>
  <c r="P631" i="30" s="1"/>
  <c r="L647" i="30"/>
  <c r="O647" i="30" s="1"/>
  <c r="P647" i="30" s="1"/>
  <c r="L671" i="30"/>
  <c r="O671" i="30" s="1"/>
  <c r="P671" i="30" s="1"/>
  <c r="L703" i="30"/>
  <c r="O703" i="30" s="1"/>
  <c r="P703" i="30" s="1"/>
  <c r="L735" i="30"/>
  <c r="O735" i="30" s="1"/>
  <c r="P735" i="30" s="1"/>
  <c r="L662" i="30"/>
  <c r="O662" i="30" s="1"/>
  <c r="P662" i="30" s="1"/>
  <c r="L718" i="30"/>
  <c r="O718" i="30" s="1"/>
  <c r="P718" i="30" s="1"/>
  <c r="L742" i="30"/>
  <c r="O742" i="30" s="1"/>
  <c r="P742" i="30" s="1"/>
  <c r="L547" i="30"/>
  <c r="O547" i="30" s="1"/>
  <c r="P547" i="30" s="1"/>
  <c r="L587" i="30"/>
  <c r="O587" i="30" s="1"/>
  <c r="P587" i="30" s="1"/>
  <c r="L595" i="30"/>
  <c r="O595" i="30" s="1"/>
  <c r="P595" i="30" s="1"/>
  <c r="L667" i="30"/>
  <c r="O667" i="30" s="1"/>
  <c r="P667" i="30" s="1"/>
  <c r="L675" i="30"/>
  <c r="O675" i="30" s="1"/>
  <c r="P675" i="30" s="1"/>
  <c r="L691" i="30"/>
  <c r="O691" i="30" s="1"/>
  <c r="P691" i="30" s="1"/>
  <c r="L739" i="30"/>
  <c r="O739" i="30" s="1"/>
  <c r="P739" i="30" s="1"/>
  <c r="L755" i="30"/>
  <c r="O755" i="30" s="1"/>
  <c r="P755" i="30" s="1"/>
  <c r="L731" i="30"/>
  <c r="O731" i="30" s="1"/>
  <c r="P731" i="30" s="1"/>
  <c r="L525" i="30"/>
  <c r="O525" i="30" s="1"/>
  <c r="P525" i="30" s="1"/>
  <c r="L532" i="30"/>
  <c r="O532" i="30" s="1"/>
  <c r="P532" i="30" s="1"/>
  <c r="L540" i="30"/>
  <c r="O540" i="30" s="1"/>
  <c r="P540" i="30" s="1"/>
  <c r="L548" i="30"/>
  <c r="O548" i="30" s="1"/>
  <c r="P548" i="30" s="1"/>
  <c r="L556" i="30"/>
  <c r="O556" i="30" s="1"/>
  <c r="P556" i="30" s="1"/>
  <c r="L564" i="30"/>
  <c r="O564" i="30" s="1"/>
  <c r="P564" i="30" s="1"/>
  <c r="L572" i="30"/>
  <c r="O572" i="30" s="1"/>
  <c r="P572" i="30" s="1"/>
  <c r="L580" i="30"/>
  <c r="O580" i="30" s="1"/>
  <c r="P580" i="30" s="1"/>
  <c r="L588" i="30"/>
  <c r="O588" i="30" s="1"/>
  <c r="P588" i="30" s="1"/>
  <c r="L596" i="30"/>
  <c r="O596" i="30" s="1"/>
  <c r="P596" i="30" s="1"/>
  <c r="L604" i="30"/>
  <c r="O604" i="30" s="1"/>
  <c r="P604" i="30" s="1"/>
  <c r="L612" i="30"/>
  <c r="O612" i="30" s="1"/>
  <c r="P612" i="30" s="1"/>
  <c r="L620" i="30"/>
  <c r="O620" i="30" s="1"/>
  <c r="P620" i="30" s="1"/>
  <c r="L628" i="30"/>
  <c r="O628" i="30" s="1"/>
  <c r="P628" i="30" s="1"/>
  <c r="L636" i="30"/>
  <c r="O636" i="30" s="1"/>
  <c r="P636" i="30" s="1"/>
  <c r="L644" i="30"/>
  <c r="O644" i="30" s="1"/>
  <c r="P644" i="30" s="1"/>
  <c r="L652" i="30"/>
  <c r="O652" i="30" s="1"/>
  <c r="P652" i="30" s="1"/>
  <c r="L660" i="30"/>
  <c r="O660" i="30" s="1"/>
  <c r="P660" i="30" s="1"/>
  <c r="L668" i="30"/>
  <c r="O668" i="30" s="1"/>
  <c r="P668" i="30" s="1"/>
  <c r="L676" i="30"/>
  <c r="O676" i="30" s="1"/>
  <c r="P676" i="30" s="1"/>
  <c r="L684" i="30"/>
  <c r="O684" i="30" s="1"/>
  <c r="P684" i="30" s="1"/>
  <c r="L692" i="30"/>
  <c r="O692" i="30" s="1"/>
  <c r="P692" i="30" s="1"/>
  <c r="L700" i="30"/>
  <c r="O700" i="30" s="1"/>
  <c r="P700" i="30" s="1"/>
  <c r="L708" i="30"/>
  <c r="O708" i="30" s="1"/>
  <c r="P708" i="30" s="1"/>
  <c r="L716" i="30"/>
  <c r="O716" i="30" s="1"/>
  <c r="P716" i="30" s="1"/>
  <c r="L724" i="30"/>
  <c r="O724" i="30" s="1"/>
  <c r="P724" i="30" s="1"/>
  <c r="L732" i="30"/>
  <c r="O732" i="30" s="1"/>
  <c r="P732" i="30" s="1"/>
  <c r="L740" i="30"/>
  <c r="O740" i="30" s="1"/>
  <c r="P740" i="30" s="1"/>
  <c r="L748" i="30"/>
  <c r="O748" i="30" s="1"/>
  <c r="P748" i="30" s="1"/>
  <c r="L756" i="30"/>
  <c r="O756" i="30" s="1"/>
  <c r="P756" i="30" s="1"/>
  <c r="L764" i="30"/>
  <c r="O764" i="30" s="1"/>
  <c r="P764" i="30" s="1"/>
  <c r="L772" i="30"/>
  <c r="O772" i="30" s="1"/>
  <c r="P772" i="30" s="1"/>
  <c r="L566" i="30"/>
  <c r="O566" i="30" s="1"/>
  <c r="P566" i="30" s="1"/>
  <c r="L574" i="30"/>
  <c r="O574" i="30" s="1"/>
  <c r="P574" i="30" s="1"/>
  <c r="L590" i="30"/>
  <c r="O590" i="30" s="1"/>
  <c r="P590" i="30" s="1"/>
  <c r="L598" i="30"/>
  <c r="O598" i="30" s="1"/>
  <c r="P598" i="30" s="1"/>
  <c r="L614" i="30"/>
  <c r="O614" i="30" s="1"/>
  <c r="P614" i="30" s="1"/>
  <c r="L654" i="30"/>
  <c r="O654" i="30" s="1"/>
  <c r="P654" i="30" s="1"/>
  <c r="L686" i="30"/>
  <c r="O686" i="30" s="1"/>
  <c r="P686" i="30" s="1"/>
  <c r="L710" i="30"/>
  <c r="O710" i="30" s="1"/>
  <c r="P710" i="30" s="1"/>
  <c r="L524" i="30"/>
  <c r="O524" i="30" s="1"/>
  <c r="P524" i="30" s="1"/>
  <c r="L603" i="30"/>
  <c r="O603" i="30" s="1"/>
  <c r="P603" i="30" s="1"/>
  <c r="L659" i="30"/>
  <c r="O659" i="30" s="1"/>
  <c r="P659" i="30" s="1"/>
  <c r="L707" i="30"/>
  <c r="O707" i="30" s="1"/>
  <c r="P707" i="30" s="1"/>
  <c r="L537" i="30"/>
  <c r="O537" i="30" s="1"/>
  <c r="P537" i="30" s="1"/>
  <c r="L545" i="30"/>
  <c r="O545" i="30" s="1"/>
  <c r="P545" i="30" s="1"/>
  <c r="L553" i="30"/>
  <c r="O553" i="30" s="1"/>
  <c r="P553" i="30" s="1"/>
  <c r="L561" i="30"/>
  <c r="O561" i="30" s="1"/>
  <c r="P561" i="30" s="1"/>
  <c r="L569" i="30"/>
  <c r="O569" i="30" s="1"/>
  <c r="P569" i="30" s="1"/>
  <c r="L577" i="30"/>
  <c r="O577" i="30" s="1"/>
  <c r="P577" i="30" s="1"/>
  <c r="L585" i="30"/>
  <c r="O585" i="30" s="1"/>
  <c r="P585" i="30" s="1"/>
  <c r="L593" i="30"/>
  <c r="O593" i="30" s="1"/>
  <c r="P593" i="30" s="1"/>
  <c r="L601" i="30"/>
  <c r="O601" i="30" s="1"/>
  <c r="P601" i="30" s="1"/>
  <c r="L609" i="30"/>
  <c r="O609" i="30" s="1"/>
  <c r="P609" i="30" s="1"/>
  <c r="L617" i="30"/>
  <c r="O617" i="30" s="1"/>
  <c r="P617" i="30" s="1"/>
  <c r="L625" i="30"/>
  <c r="O625" i="30" s="1"/>
  <c r="P625" i="30" s="1"/>
  <c r="L633" i="30"/>
  <c r="O633" i="30" s="1"/>
  <c r="P633" i="30" s="1"/>
  <c r="L641" i="30"/>
  <c r="O641" i="30" s="1"/>
  <c r="P641" i="30" s="1"/>
  <c r="L649" i="30"/>
  <c r="O649" i="30" s="1"/>
  <c r="P649" i="30" s="1"/>
  <c r="L657" i="30"/>
  <c r="O657" i="30" s="1"/>
  <c r="P657" i="30" s="1"/>
  <c r="L665" i="30"/>
  <c r="O665" i="30" s="1"/>
  <c r="P665" i="30" s="1"/>
  <c r="L673" i="30"/>
  <c r="O673" i="30" s="1"/>
  <c r="P673" i="30" s="1"/>
  <c r="L681" i="30"/>
  <c r="O681" i="30" s="1"/>
  <c r="P681" i="30" s="1"/>
  <c r="L689" i="30"/>
  <c r="O689" i="30" s="1"/>
  <c r="P689" i="30" s="1"/>
  <c r="L697" i="30"/>
  <c r="O697" i="30" s="1"/>
  <c r="P697" i="30" s="1"/>
  <c r="L705" i="30"/>
  <c r="O705" i="30" s="1"/>
  <c r="P705" i="30" s="1"/>
  <c r="L713" i="30"/>
  <c r="O713" i="30" s="1"/>
  <c r="P713" i="30" s="1"/>
  <c r="L721" i="30"/>
  <c r="O721" i="30" s="1"/>
  <c r="P721" i="30" s="1"/>
  <c r="L729" i="30"/>
  <c r="O729" i="30" s="1"/>
  <c r="P729" i="30" s="1"/>
  <c r="L737" i="30"/>
  <c r="O737" i="30" s="1"/>
  <c r="P737" i="30" s="1"/>
  <c r="L745" i="30"/>
  <c r="O745" i="30" s="1"/>
  <c r="P745" i="30" s="1"/>
  <c r="L753" i="30"/>
  <c r="O753" i="30" s="1"/>
  <c r="P753" i="30" s="1"/>
  <c r="L761" i="30"/>
  <c r="O761" i="30" s="1"/>
  <c r="P761" i="30" s="1"/>
  <c r="L769" i="30"/>
  <c r="O769" i="30" s="1"/>
  <c r="P769" i="30" s="1"/>
  <c r="L529" i="30"/>
  <c r="O529" i="30" s="1"/>
  <c r="P529" i="30" s="1"/>
  <c r="L534" i="30"/>
  <c r="O534" i="30" s="1"/>
  <c r="P534" i="30" s="1"/>
  <c r="L542" i="30"/>
  <c r="O542" i="30" s="1"/>
  <c r="P542" i="30" s="1"/>
  <c r="L550" i="30"/>
  <c r="O550" i="30" s="1"/>
  <c r="P550" i="30" s="1"/>
  <c r="L558" i="30"/>
  <c r="O558" i="30" s="1"/>
  <c r="P558" i="30" s="1"/>
  <c r="L582" i="30"/>
  <c r="O582" i="30" s="1"/>
  <c r="P582" i="30" s="1"/>
  <c r="L606" i="30"/>
  <c r="O606" i="30" s="1"/>
  <c r="P606" i="30" s="1"/>
  <c r="L622" i="30"/>
  <c r="O622" i="30" s="1"/>
  <c r="P622" i="30" s="1"/>
  <c r="L638" i="30"/>
  <c r="O638" i="30" s="1"/>
  <c r="P638" i="30" s="1"/>
  <c r="L646" i="30"/>
  <c r="O646" i="30" s="1"/>
  <c r="P646" i="30" s="1"/>
  <c r="L678" i="30"/>
  <c r="O678" i="30" s="1"/>
  <c r="P678" i="30" s="1"/>
  <c r="L702" i="30"/>
  <c r="O702" i="30" s="1"/>
  <c r="P702" i="30" s="1"/>
  <c r="L734" i="30"/>
  <c r="O734" i="30" s="1"/>
  <c r="P734" i="30" s="1"/>
  <c r="L774" i="30"/>
  <c r="O774" i="30" s="1"/>
  <c r="P774" i="30" s="1"/>
  <c r="L531" i="30"/>
  <c r="O531" i="30" s="1"/>
  <c r="P531" i="30" s="1"/>
  <c r="L571" i="30"/>
  <c r="O571" i="30" s="1"/>
  <c r="P571" i="30" s="1"/>
  <c r="L619" i="30"/>
  <c r="O619" i="30" s="1"/>
  <c r="P619" i="30" s="1"/>
  <c r="L643" i="30"/>
  <c r="O643" i="30" s="1"/>
  <c r="P643" i="30" s="1"/>
  <c r="L699" i="30"/>
  <c r="O699" i="30" s="1"/>
  <c r="P699" i="30" s="1"/>
  <c r="L527" i="30"/>
  <c r="O527" i="30" s="1"/>
  <c r="P527" i="30" s="1"/>
  <c r="L530" i="30"/>
  <c r="O530" i="30" s="1"/>
  <c r="P530" i="30" s="1"/>
  <c r="T12" i="37"/>
  <c r="T23" i="37"/>
  <c r="T22" i="37"/>
  <c r="T19" i="37"/>
  <c r="T13" i="37"/>
  <c r="V22" i="37"/>
  <c r="T25" i="37"/>
  <c r="T8" i="37"/>
  <c r="T10" i="37"/>
  <c r="T7" i="37"/>
  <c r="T4" i="37"/>
  <c r="V20" i="37"/>
  <c r="J59" i="9"/>
  <c r="J57" i="9"/>
  <c r="J65" i="9"/>
  <c r="J44" i="9"/>
  <c r="J61" i="9"/>
  <c r="J41" i="9"/>
  <c r="J45" i="9"/>
  <c r="P61" i="10"/>
  <c r="P56" i="10"/>
  <c r="P62" i="10"/>
  <c r="P83" i="9"/>
  <c r="L449" i="30"/>
  <c r="O449" i="30" s="1"/>
  <c r="P449" i="30" s="1"/>
  <c r="L450" i="30"/>
  <c r="O450" i="30" s="1"/>
  <c r="P450" i="30" s="1"/>
  <c r="P87" i="9"/>
  <c r="P60" i="10"/>
  <c r="G44" i="9"/>
  <c r="G41" i="9"/>
  <c r="G39" i="9"/>
  <c r="J66" i="9"/>
  <c r="G66" i="9"/>
  <c r="J42" i="9"/>
  <c r="G64" i="9"/>
  <c r="G45" i="9"/>
  <c r="J39" i="9"/>
  <c r="J60" i="9"/>
  <c r="J64" i="9"/>
  <c r="J62" i="9"/>
  <c r="J40" i="9"/>
  <c r="J63" i="9"/>
  <c r="I60" i="9"/>
  <c r="I64" i="9"/>
  <c r="J46" i="9"/>
  <c r="I40" i="9"/>
  <c r="I43" i="9"/>
  <c r="G40" i="9"/>
  <c r="I61" i="9"/>
  <c r="I63" i="9"/>
  <c r="G46" i="9"/>
  <c r="G43" i="9"/>
  <c r="I39" i="9"/>
  <c r="I59" i="9"/>
  <c r="G62" i="9"/>
  <c r="G42" i="9"/>
  <c r="I57" i="9"/>
  <c r="I46" i="9"/>
  <c r="I66" i="9"/>
  <c r="G61" i="9"/>
  <c r="G63" i="9"/>
  <c r="I37" i="9"/>
  <c r="I41" i="9"/>
  <c r="I62" i="9"/>
  <c r="I45" i="9"/>
  <c r="G65" i="9"/>
  <c r="G60" i="9"/>
  <c r="I42" i="9"/>
  <c r="I65" i="9"/>
  <c r="L461" i="30"/>
  <c r="O461" i="30" s="1"/>
  <c r="P461" i="30" s="1"/>
  <c r="L455" i="30"/>
  <c r="O455" i="30" s="1"/>
  <c r="P455" i="30" s="1"/>
  <c r="L463" i="30"/>
  <c r="O463" i="30" s="1"/>
  <c r="P463" i="30" s="1"/>
  <c r="L457" i="30"/>
  <c r="O457" i="30" s="1"/>
  <c r="P457" i="30" s="1"/>
  <c r="L462" i="30"/>
  <c r="O462" i="30" s="1"/>
  <c r="P462" i="30" s="1"/>
  <c r="L453" i="30"/>
  <c r="O453" i="30" s="1"/>
  <c r="P453" i="30" s="1"/>
  <c r="L460" i="30"/>
  <c r="O460" i="30" s="1"/>
  <c r="P460" i="30" s="1"/>
  <c r="L454" i="30"/>
  <c r="O454" i="30" s="1"/>
  <c r="P454" i="30" s="1"/>
  <c r="L458" i="30"/>
  <c r="O458" i="30" s="1"/>
  <c r="P458" i="30" s="1"/>
  <c r="L467" i="30"/>
  <c r="O467" i="30" s="1"/>
  <c r="P467" i="30" s="1"/>
  <c r="L459" i="30"/>
  <c r="O459" i="30" s="1"/>
  <c r="P459" i="30" s="1"/>
  <c r="L456" i="30"/>
  <c r="O456" i="30" s="1"/>
  <c r="P456" i="30" s="1"/>
  <c r="B10" i="2"/>
  <c r="E10" i="2"/>
  <c r="AD76" i="3"/>
  <c r="AA82" i="3"/>
  <c r="BB79" i="3"/>
  <c r="AS79" i="3"/>
  <c r="AY82" i="3"/>
  <c r="AG78" i="3"/>
  <c r="R84" i="3"/>
  <c r="AV83" i="3"/>
  <c r="BK82" i="3"/>
  <c r="AM77" i="3"/>
  <c r="AV82" i="3"/>
  <c r="BH82" i="3"/>
  <c r="G79" i="9"/>
  <c r="F89" i="9"/>
  <c r="L432" i="30"/>
  <c r="L430" i="30"/>
  <c r="L434" i="30"/>
  <c r="L433" i="30"/>
  <c r="L464" i="30"/>
  <c r="L468" i="30"/>
  <c r="L452" i="30"/>
  <c r="L466" i="30"/>
  <c r="L451" i="30"/>
  <c r="L465" i="30"/>
  <c r="L439" i="30"/>
  <c r="L446" i="30"/>
  <c r="L442" i="30"/>
  <c r="L445" i="30"/>
  <c r="L435" i="30"/>
  <c r="L448" i="30"/>
  <c r="L438" i="30"/>
  <c r="L441" i="30"/>
  <c r="L437" i="30"/>
  <c r="L444" i="30"/>
  <c r="L447" i="30"/>
  <c r="L440" i="30"/>
  <c r="L436" i="30"/>
  <c r="L443" i="30"/>
  <c r="D3" i="32"/>
  <c r="M466" i="30" s="1"/>
  <c r="D5" i="32"/>
  <c r="M432" i="30" s="1"/>
  <c r="M448" i="30"/>
  <c r="M443" i="30"/>
  <c r="M438" i="30"/>
  <c r="M445" i="30"/>
  <c r="M440" i="30"/>
  <c r="M435" i="30"/>
  <c r="M447" i="30"/>
  <c r="M442" i="30"/>
  <c r="M437" i="30"/>
  <c r="M444" i="30"/>
  <c r="M439" i="30"/>
  <c r="M446" i="30"/>
  <c r="M441" i="30"/>
  <c r="M436" i="30"/>
  <c r="M465" i="30"/>
  <c r="M468" i="30"/>
  <c r="M451" i="30"/>
  <c r="M464" i="30"/>
  <c r="M433" i="30"/>
  <c r="D8" i="32"/>
  <c r="D10" i="32"/>
  <c r="D7" i="32"/>
  <c r="D6" i="32"/>
  <c r="D11" i="32"/>
  <c r="D9" i="32"/>
  <c r="D12" i="32"/>
  <c r="C9" i="32"/>
  <c r="C8" i="32"/>
  <c r="C7" i="32"/>
  <c r="C6" i="32"/>
  <c r="C12" i="32"/>
  <c r="C11" i="32"/>
  <c r="C10" i="32"/>
  <c r="N433" i="30"/>
  <c r="N430" i="30"/>
  <c r="N434" i="30"/>
  <c r="N432" i="30"/>
  <c r="C4" i="32"/>
  <c r="N468" i="30"/>
  <c r="N465" i="30"/>
  <c r="N452" i="30"/>
  <c r="N466" i="30"/>
  <c r="N464" i="30"/>
  <c r="N451" i="30"/>
  <c r="J42" i="28"/>
  <c r="I42" i="28" s="1"/>
  <c r="G28" i="28"/>
  <c r="H28" i="28" s="1"/>
  <c r="J28" i="28" s="1"/>
  <c r="U120" i="9"/>
  <c r="J47" i="28"/>
  <c r="I47" i="28" s="1"/>
  <c r="G73" i="28"/>
  <c r="H73" i="28" s="1"/>
  <c r="J73" i="28" s="1"/>
  <c r="J72" i="28"/>
  <c r="I72" i="28" s="1"/>
  <c r="U127" i="9"/>
  <c r="U125" i="9"/>
  <c r="U108" i="9"/>
  <c r="U107" i="9"/>
  <c r="S57" i="10"/>
  <c r="U102" i="9"/>
  <c r="U100" i="9"/>
  <c r="U86" i="9"/>
  <c r="R92" i="9"/>
  <c r="S63" i="10"/>
  <c r="T83" i="9"/>
  <c r="T56" i="10"/>
  <c r="U121" i="9"/>
  <c r="U94" i="9"/>
  <c r="U85" i="9"/>
  <c r="U98" i="9"/>
  <c r="U84" i="9"/>
  <c r="U62" i="10"/>
  <c r="R56" i="10"/>
  <c r="U103" i="9"/>
  <c r="U82" i="9"/>
  <c r="U87" i="9"/>
  <c r="U90" i="9"/>
  <c r="U63" i="10"/>
  <c r="R58" i="10"/>
  <c r="U93" i="9"/>
  <c r="U96" i="9"/>
  <c r="U129" i="9"/>
  <c r="U128" i="9"/>
  <c r="U79" i="9"/>
  <c r="U61" i="10"/>
  <c r="R96" i="9"/>
  <c r="U104" i="9"/>
  <c r="U57" i="10"/>
  <c r="U122" i="9"/>
  <c r="U58" i="10"/>
  <c r="T57" i="10"/>
  <c r="U106" i="9"/>
  <c r="U105" i="9"/>
  <c r="U91" i="9"/>
  <c r="U81" i="9"/>
  <c r="G98" i="28"/>
  <c r="H98" i="28" s="1"/>
  <c r="J98" i="28" s="1"/>
  <c r="U126" i="9"/>
  <c r="U101" i="9"/>
  <c r="U65" i="10"/>
  <c r="U64" i="10"/>
  <c r="U109" i="9"/>
  <c r="U97" i="9"/>
  <c r="U89" i="9"/>
  <c r="S56" i="10"/>
  <c r="R62" i="10"/>
  <c r="R94" i="9"/>
  <c r="S89" i="9"/>
  <c r="T92" i="9"/>
  <c r="T58" i="10"/>
  <c r="U124" i="9"/>
  <c r="U123" i="9"/>
  <c r="U88" i="9"/>
  <c r="G58" i="28"/>
  <c r="H58" i="28" s="1"/>
  <c r="J58" i="28" s="1"/>
  <c r="J12" i="28"/>
  <c r="I12" i="28" s="1"/>
  <c r="G18" i="28"/>
  <c r="H18" i="28" s="1"/>
  <c r="J18" i="28" s="1"/>
  <c r="G43" i="28"/>
  <c r="H43" i="28" s="1"/>
  <c r="J43" i="28" s="1"/>
  <c r="J57" i="28"/>
  <c r="I57" i="28" s="1"/>
  <c r="J77" i="28"/>
  <c r="I77" i="28" s="1"/>
  <c r="J87" i="28"/>
  <c r="I87" i="28" s="1"/>
  <c r="J82" i="28"/>
  <c r="I82" i="28" s="1"/>
  <c r="J7" i="28"/>
  <c r="I7" i="28" s="1"/>
  <c r="G23" i="28"/>
  <c r="H23" i="28" s="1"/>
  <c r="J23" i="28" s="1"/>
  <c r="J92" i="28"/>
  <c r="I92" i="28" s="1"/>
  <c r="G103" i="28"/>
  <c r="H103" i="28" s="1"/>
  <c r="J103" i="28" s="1"/>
  <c r="G63" i="28"/>
  <c r="H63" i="28" s="1"/>
  <c r="J63" i="28" s="1"/>
  <c r="J27" i="28"/>
  <c r="I27" i="28" s="1"/>
  <c r="O90" i="9"/>
  <c r="G63" i="10"/>
  <c r="O84" i="9"/>
  <c r="N80" i="9"/>
  <c r="F15" i="4"/>
  <c r="L81" i="9"/>
  <c r="G48" i="28"/>
  <c r="H48" i="28" s="1"/>
  <c r="J48" i="28" s="1"/>
  <c r="M87" i="9"/>
  <c r="H86" i="9"/>
  <c r="O85" i="9"/>
  <c r="I61" i="10"/>
  <c r="K86" i="9"/>
  <c r="L65" i="10"/>
  <c r="J56" i="10"/>
  <c r="L62" i="10"/>
  <c r="M60" i="10"/>
  <c r="N56" i="10"/>
  <c r="N62" i="10"/>
  <c r="J65" i="10"/>
  <c r="L94" i="9"/>
  <c r="M62" i="10"/>
  <c r="I84" i="9"/>
  <c r="J82" i="9"/>
  <c r="O62" i="10"/>
  <c r="M94" i="9"/>
  <c r="O57" i="10"/>
  <c r="O63" i="10"/>
  <c r="J60" i="10"/>
  <c r="I79" i="9"/>
  <c r="L90" i="9"/>
  <c r="L57" i="10"/>
  <c r="M57" i="10"/>
  <c r="I82" i="9"/>
  <c r="J91" i="9"/>
  <c r="L95" i="9"/>
  <c r="N96" i="9"/>
  <c r="Q128" i="9"/>
  <c r="R109" i="9"/>
  <c r="R127" i="9"/>
  <c r="T125" i="9"/>
  <c r="T124" i="9"/>
  <c r="S123" i="9"/>
  <c r="S128" i="9"/>
  <c r="K88" i="9"/>
  <c r="R102" i="9"/>
  <c r="S101" i="9"/>
  <c r="S120" i="9"/>
  <c r="S102" i="9"/>
  <c r="S121" i="9"/>
  <c r="T108" i="9"/>
  <c r="R106" i="9"/>
  <c r="S109" i="9"/>
  <c r="T102" i="9"/>
  <c r="Q106" i="9"/>
  <c r="K79" i="9"/>
  <c r="R121" i="9"/>
  <c r="R84" i="9"/>
  <c r="S88" i="9"/>
  <c r="S65" i="10"/>
  <c r="S92" i="9"/>
  <c r="T107" i="9"/>
  <c r="T127" i="9"/>
  <c r="P85" i="9"/>
  <c r="P91" i="9"/>
  <c r="P80" i="9"/>
  <c r="Q79" i="9"/>
  <c r="Q84" i="9"/>
  <c r="Q101" i="9"/>
  <c r="Q87" i="9"/>
  <c r="P64" i="10"/>
  <c r="P65" i="10"/>
  <c r="Q60" i="10"/>
  <c r="R64" i="10"/>
  <c r="R57" i="10"/>
  <c r="S61" i="10"/>
  <c r="R85" i="9"/>
  <c r="S104" i="9"/>
  <c r="S124" i="9"/>
  <c r="S87" i="9"/>
  <c r="S90" i="9"/>
  <c r="S98" i="9"/>
  <c r="S86" i="9"/>
  <c r="T122" i="9"/>
  <c r="T103" i="9"/>
  <c r="T88" i="9"/>
  <c r="T97" i="9"/>
  <c r="T120" i="9"/>
  <c r="T95" i="9"/>
  <c r="T65" i="10"/>
  <c r="T61" i="10"/>
  <c r="R97" i="9"/>
  <c r="S91" i="9"/>
  <c r="Q129" i="9"/>
  <c r="R91" i="9"/>
  <c r="P94" i="9"/>
  <c r="P97" i="9"/>
  <c r="P82" i="9"/>
  <c r="Q108" i="9"/>
  <c r="Q109" i="9"/>
  <c r="Q96" i="9"/>
  <c r="P59" i="10"/>
  <c r="P57" i="10"/>
  <c r="Q63" i="10"/>
  <c r="R60" i="10"/>
  <c r="S62" i="10"/>
  <c r="R104" i="9"/>
  <c r="R123" i="9"/>
  <c r="R81" i="9"/>
  <c r="R98" i="9"/>
  <c r="R120" i="9"/>
  <c r="S127" i="9"/>
  <c r="S107" i="9"/>
  <c r="S125" i="9"/>
  <c r="S108" i="9"/>
  <c r="S85" i="9"/>
  <c r="S82" i="9"/>
  <c r="S129" i="9"/>
  <c r="S95" i="9"/>
  <c r="T106" i="9"/>
  <c r="T128" i="9"/>
  <c r="T84" i="9"/>
  <c r="T82" i="9"/>
  <c r="T79" i="9"/>
  <c r="T98" i="9"/>
  <c r="T63" i="10"/>
  <c r="Q126" i="9"/>
  <c r="S59" i="10"/>
  <c r="R86" i="9"/>
  <c r="S83" i="9"/>
  <c r="T91" i="9"/>
  <c r="Q58" i="10"/>
  <c r="Q57" i="10"/>
  <c r="R79" i="9"/>
  <c r="R88" i="9"/>
  <c r="S79" i="9"/>
  <c r="T126" i="9"/>
  <c r="P90" i="9"/>
  <c r="Q103" i="9"/>
  <c r="Q120" i="9"/>
  <c r="R82" i="9"/>
  <c r="S103" i="9"/>
  <c r="T123" i="9"/>
  <c r="T105" i="9"/>
  <c r="T60" i="10"/>
  <c r="P95" i="9"/>
  <c r="P84" i="9"/>
  <c r="Q104" i="9"/>
  <c r="Q124" i="9"/>
  <c r="Q105" i="9"/>
  <c r="Q107" i="9"/>
  <c r="Q97" i="9"/>
  <c r="Q80" i="9"/>
  <c r="P63" i="10"/>
  <c r="Q61" i="10"/>
  <c r="R61" i="10"/>
  <c r="S58" i="10"/>
  <c r="R103" i="9"/>
  <c r="R105" i="9"/>
  <c r="R128" i="9"/>
  <c r="R101" i="9"/>
  <c r="R89" i="9"/>
  <c r="S122" i="9"/>
  <c r="S97" i="9"/>
  <c r="T100" i="9"/>
  <c r="T129" i="9"/>
  <c r="T121" i="9"/>
  <c r="T93" i="9"/>
  <c r="T85" i="9"/>
  <c r="T80" i="9"/>
  <c r="T62" i="10"/>
  <c r="T59" i="10"/>
  <c r="T87" i="9"/>
  <c r="Q121" i="9"/>
  <c r="R90" i="9"/>
  <c r="P79" i="9"/>
  <c r="P86" i="9"/>
  <c r="Q123" i="9"/>
  <c r="Q100" i="9"/>
  <c r="Q65" i="10"/>
  <c r="R63" i="10"/>
  <c r="R93" i="9"/>
  <c r="S126" i="9"/>
  <c r="T101" i="9"/>
  <c r="P88" i="9"/>
  <c r="P93" i="9"/>
  <c r="Q127" i="9"/>
  <c r="Q125" i="9"/>
  <c r="Q102" i="9"/>
  <c r="Q98" i="9"/>
  <c r="Q122" i="9"/>
  <c r="Q89" i="9"/>
  <c r="Q56" i="10"/>
  <c r="R59" i="10"/>
  <c r="S64" i="10"/>
  <c r="S60" i="10"/>
  <c r="R122" i="9"/>
  <c r="R124" i="9"/>
  <c r="R125" i="9"/>
  <c r="R87" i="9"/>
  <c r="R129" i="9"/>
  <c r="R83" i="9"/>
  <c r="S106" i="9"/>
  <c r="S93" i="9"/>
  <c r="S100" i="9"/>
  <c r="S80" i="9"/>
  <c r="T81" i="9"/>
  <c r="T89" i="9"/>
  <c r="S84" i="9"/>
  <c r="P89" i="9"/>
  <c r="P58" i="10"/>
  <c r="S81" i="9"/>
  <c r="T90" i="9"/>
  <c r="P81" i="9"/>
  <c r="P98" i="9"/>
  <c r="Q94" i="9"/>
  <c r="Q90" i="9"/>
  <c r="Q92" i="9"/>
  <c r="Q91" i="9"/>
  <c r="Q64" i="10"/>
  <c r="R65" i="10"/>
  <c r="R108" i="9"/>
  <c r="R107" i="9"/>
  <c r="R126" i="9"/>
  <c r="R95" i="9"/>
  <c r="R100" i="9"/>
  <c r="S105" i="9"/>
  <c r="S94" i="9"/>
  <c r="S96" i="9"/>
  <c r="T104" i="9"/>
  <c r="T109" i="9"/>
  <c r="T94" i="9"/>
  <c r="T96" i="9"/>
  <c r="J107" i="28"/>
  <c r="I107" i="28" s="1"/>
  <c r="G33" i="28"/>
  <c r="H33" i="28" s="1"/>
  <c r="J33" i="28" s="1"/>
  <c r="J52" i="28"/>
  <c r="I52" i="28" s="1"/>
  <c r="G13" i="28"/>
  <c r="H13" i="28" s="1"/>
  <c r="J13" i="28" s="1"/>
  <c r="J37" i="28"/>
  <c r="I37" i="28" s="1"/>
  <c r="J17" i="28"/>
  <c r="I17" i="28" s="1"/>
  <c r="J62" i="28"/>
  <c r="I62" i="28" s="1"/>
  <c r="G83" i="28"/>
  <c r="H83" i="28" s="1"/>
  <c r="J83" i="28" s="1"/>
  <c r="J32" i="28"/>
  <c r="I32" i="28" s="1"/>
  <c r="G68" i="28"/>
  <c r="H68" i="28" s="1"/>
  <c r="J68" i="28" s="1"/>
  <c r="G78" i="28"/>
  <c r="H78" i="28" s="1"/>
  <c r="J78" i="28" s="1"/>
  <c r="J67" i="28"/>
  <c r="I67" i="28" s="1"/>
  <c r="G38" i="28"/>
  <c r="H38" i="28" s="1"/>
  <c r="J38" i="28" s="1"/>
  <c r="G93" i="28"/>
  <c r="H93" i="28" s="1"/>
  <c r="J93" i="28" s="1"/>
  <c r="J97" i="28"/>
  <c r="I97" i="28" s="1"/>
  <c r="G3" i="28"/>
  <c r="H3" i="28" s="1"/>
  <c r="J3" i="28" s="1"/>
  <c r="G8" i="28"/>
  <c r="H8" i="28" s="1"/>
  <c r="J8" i="28" s="1"/>
  <c r="J102" i="28"/>
  <c r="I102" i="28" s="1"/>
  <c r="G53" i="28"/>
  <c r="H53" i="28" s="1"/>
  <c r="J53" i="28" s="1"/>
  <c r="G88" i="28"/>
  <c r="H88" i="28" s="1"/>
  <c r="J88" i="28" s="1"/>
  <c r="O92" i="9"/>
  <c r="O98" i="9"/>
  <c r="O95" i="9"/>
  <c r="O86" i="9"/>
  <c r="O88" i="9"/>
  <c r="O82" i="9"/>
  <c r="O93" i="9"/>
  <c r="O58" i="10"/>
  <c r="O64" i="10"/>
  <c r="O80" i="9"/>
  <c r="O87" i="9"/>
  <c r="O59" i="10"/>
  <c r="O96" i="9"/>
  <c r="O65" i="10"/>
  <c r="O60" i="10"/>
  <c r="O91" i="9"/>
  <c r="O61" i="10"/>
  <c r="O83" i="9"/>
  <c r="O79" i="9"/>
  <c r="O56" i="10"/>
  <c r="O94" i="9"/>
  <c r="O81" i="9"/>
  <c r="O89" i="9"/>
  <c r="O97" i="9"/>
  <c r="N83" i="9"/>
  <c r="N94" i="9"/>
  <c r="N98" i="9"/>
  <c r="N63" i="10"/>
  <c r="N89" i="9"/>
  <c r="N81" i="9"/>
  <c r="N58" i="10"/>
  <c r="N59" i="10"/>
  <c r="N92" i="9"/>
  <c r="N82" i="9"/>
  <c r="N95" i="9"/>
  <c r="N85" i="9"/>
  <c r="N90" i="9"/>
  <c r="N61" i="10"/>
  <c r="N79" i="9"/>
  <c r="N88" i="9"/>
  <c r="N84" i="9"/>
  <c r="N64" i="10"/>
  <c r="N97" i="9"/>
  <c r="N86" i="9"/>
  <c r="N93" i="9"/>
  <c r="N65" i="10"/>
  <c r="N57" i="10"/>
  <c r="N91" i="9"/>
  <c r="N87" i="9"/>
  <c r="N60" i="10"/>
  <c r="M92" i="9"/>
  <c r="M96" i="9"/>
  <c r="M82" i="9"/>
  <c r="M98" i="9"/>
  <c r="M85" i="9"/>
  <c r="M81" i="9"/>
  <c r="M63" i="10"/>
  <c r="M56" i="10"/>
  <c r="M91" i="9"/>
  <c r="M86" i="9"/>
  <c r="M83" i="9"/>
  <c r="M90" i="9"/>
  <c r="M58" i="10"/>
  <c r="M59" i="10"/>
  <c r="M61" i="10"/>
  <c r="M79" i="9"/>
  <c r="M84" i="9"/>
  <c r="M80" i="9"/>
  <c r="M88" i="9"/>
  <c r="M93" i="9"/>
  <c r="M65" i="10"/>
  <c r="M64" i="10"/>
  <c r="M89" i="9"/>
  <c r="M95" i="9"/>
  <c r="M97" i="9"/>
  <c r="L96" i="9"/>
  <c r="L92" i="9"/>
  <c r="L58" i="10"/>
  <c r="L86" i="9"/>
  <c r="L59" i="10"/>
  <c r="L61" i="10"/>
  <c r="L63" i="10"/>
  <c r="L82" i="9"/>
  <c r="L64" i="10"/>
  <c r="L83" i="9"/>
  <c r="L88" i="9"/>
  <c r="L60" i="10"/>
  <c r="L93" i="9"/>
  <c r="L79" i="9"/>
  <c r="L85" i="9"/>
  <c r="L97" i="9"/>
  <c r="L87" i="9"/>
  <c r="L56" i="10"/>
  <c r="L84" i="9"/>
  <c r="L98" i="9"/>
  <c r="L91" i="9"/>
  <c r="L80" i="9"/>
  <c r="L89" i="9"/>
  <c r="K59" i="10"/>
  <c r="K56" i="10"/>
  <c r="K58" i="10"/>
  <c r="K81" i="9"/>
  <c r="K94" i="9"/>
  <c r="K84" i="9"/>
  <c r="K65" i="10"/>
  <c r="K98" i="9"/>
  <c r="K80" i="9"/>
  <c r="K97" i="9"/>
  <c r="K60" i="10"/>
  <c r="K63" i="10"/>
  <c r="K89" i="9"/>
  <c r="K62" i="10"/>
  <c r="K83" i="9"/>
  <c r="K57" i="10"/>
  <c r="K61" i="10"/>
  <c r="K92" i="9"/>
  <c r="K96" i="9"/>
  <c r="K91" i="9"/>
  <c r="K64" i="10"/>
  <c r="K82" i="9"/>
  <c r="K93" i="9"/>
  <c r="K95" i="9"/>
  <c r="K85" i="9"/>
  <c r="K87" i="9"/>
  <c r="K90" i="9"/>
  <c r="J84" i="9"/>
  <c r="J95" i="9"/>
  <c r="J63" i="10"/>
  <c r="J98" i="9"/>
  <c r="J90" i="9"/>
  <c r="J85" i="9"/>
  <c r="J57" i="10"/>
  <c r="J58" i="10"/>
  <c r="J89" i="9"/>
  <c r="J96" i="9"/>
  <c r="J88" i="9"/>
  <c r="J62" i="10"/>
  <c r="J61" i="10"/>
  <c r="J93" i="9"/>
  <c r="J81" i="9"/>
  <c r="J97" i="9"/>
  <c r="J92" i="9"/>
  <c r="J64" i="10"/>
  <c r="J87" i="9"/>
  <c r="J94" i="9"/>
  <c r="J59" i="10"/>
  <c r="J86" i="9"/>
  <c r="J83" i="9"/>
  <c r="J80" i="9"/>
  <c r="J79" i="9"/>
  <c r="I60" i="10"/>
  <c r="I87" i="9"/>
  <c r="I63" i="10"/>
  <c r="I62" i="10"/>
  <c r="I96" i="9"/>
  <c r="I83" i="9"/>
  <c r="I89" i="9"/>
  <c r="I91" i="9"/>
  <c r="I56" i="10"/>
  <c r="I58" i="10"/>
  <c r="I80" i="9"/>
  <c r="I94" i="9"/>
  <c r="I57" i="10"/>
  <c r="I85" i="9"/>
  <c r="I86" i="9"/>
  <c r="I81" i="9"/>
  <c r="I88" i="9"/>
  <c r="I65" i="10"/>
  <c r="I64" i="10"/>
  <c r="I98" i="9"/>
  <c r="I95" i="9"/>
  <c r="I97" i="9"/>
  <c r="I59" i="10"/>
  <c r="I92" i="9"/>
  <c r="I90" i="9"/>
  <c r="I93" i="9"/>
  <c r="H66" i="9"/>
  <c r="H43" i="9"/>
  <c r="V7" i="20"/>
  <c r="AY11" i="20"/>
  <c r="H61" i="9"/>
  <c r="AX7" i="20"/>
  <c r="H65" i="9"/>
  <c r="H39" i="9"/>
  <c r="Y7" i="20"/>
  <c r="H40" i="9"/>
  <c r="H64" i="9"/>
  <c r="H46" i="9"/>
  <c r="H41" i="9"/>
  <c r="H60" i="9"/>
  <c r="H63" i="9"/>
  <c r="X78" i="9"/>
  <c r="AZ11" i="20"/>
  <c r="W11" i="20"/>
  <c r="H44" i="9"/>
  <c r="H45" i="9"/>
  <c r="V11" i="20"/>
  <c r="Y12" i="20"/>
  <c r="Y11" i="20"/>
  <c r="AY7" i="20"/>
  <c r="Y78" i="9"/>
  <c r="X11" i="20"/>
  <c r="BA11" i="20"/>
  <c r="X7" i="20"/>
  <c r="AZ7" i="20"/>
  <c r="Y55" i="10"/>
  <c r="Z55" i="10"/>
  <c r="Z78" i="9"/>
  <c r="BA12" i="20"/>
  <c r="W78" i="9"/>
  <c r="BA7" i="20"/>
  <c r="AX11" i="20"/>
  <c r="W7" i="20"/>
  <c r="BA8" i="20"/>
  <c r="E10" i="10"/>
  <c r="AG4" i="20"/>
  <c r="AY17" i="20"/>
  <c r="AY16" i="20" s="1"/>
  <c r="F120" i="3"/>
  <c r="F124" i="3"/>
  <c r="F95" i="9"/>
  <c r="H97" i="9"/>
  <c r="F118" i="3"/>
  <c r="E11" i="10"/>
  <c r="F123" i="3"/>
  <c r="F94" i="3"/>
  <c r="AY4" i="20"/>
  <c r="F88" i="3"/>
  <c r="H90" i="9"/>
  <c r="F119" i="3"/>
  <c r="F125" i="3"/>
  <c r="F122" i="3"/>
  <c r="F14" i="4"/>
  <c r="V12" i="20"/>
  <c r="I14" i="4"/>
  <c r="AV8" i="20"/>
  <c r="F116" i="3"/>
  <c r="E4" i="20"/>
  <c r="O5" i="9"/>
  <c r="V78" i="9"/>
  <c r="U8" i="6"/>
  <c r="X8" i="20"/>
  <c r="S5" i="9"/>
  <c r="F91" i="3"/>
  <c r="E11" i="4"/>
  <c r="F98" i="9"/>
  <c r="G18" i="39"/>
  <c r="D40" i="11"/>
  <c r="C40" i="11" s="1"/>
  <c r="M4" i="6"/>
  <c r="W55" i="10"/>
  <c r="V55" i="10"/>
  <c r="T11" i="37"/>
  <c r="G16" i="39"/>
  <c r="AZ12" i="20"/>
  <c r="F58" i="10"/>
  <c r="F92" i="3"/>
  <c r="Q5" i="9"/>
  <c r="T17" i="20"/>
  <c r="T16" i="20" s="1"/>
  <c r="H8" i="20"/>
  <c r="D76" i="3"/>
  <c r="S4" i="4" s="1"/>
  <c r="Y4" i="4" s="1"/>
  <c r="T4" i="20"/>
  <c r="H81" i="9"/>
  <c r="X4" i="10"/>
  <c r="Z4" i="10"/>
  <c r="X12" i="20"/>
  <c r="H61" i="10"/>
  <c r="E14" i="10"/>
  <c r="H57" i="10"/>
  <c r="W12" i="20"/>
  <c r="F80" i="9"/>
  <c r="H62" i="10"/>
  <c r="U7" i="20"/>
  <c r="U11" i="20"/>
  <c r="F85" i="9"/>
  <c r="U12" i="20"/>
  <c r="X55" i="10"/>
  <c r="G5" i="9"/>
  <c r="Y8" i="20"/>
  <c r="H65" i="10"/>
  <c r="H60" i="10"/>
  <c r="AY12" i="20"/>
  <c r="V8" i="20"/>
  <c r="AS17" i="20"/>
  <c r="AS16" i="20" s="1"/>
  <c r="X5" i="9"/>
  <c r="E53" i="29"/>
  <c r="G17" i="39"/>
  <c r="G15" i="39"/>
  <c r="D29" i="37"/>
  <c r="Q36" i="9"/>
  <c r="D41" i="37"/>
  <c r="V4" i="37"/>
  <c r="V18" i="37"/>
  <c r="V25" i="37"/>
  <c r="V7" i="37"/>
  <c r="V21" i="37"/>
  <c r="V17" i="37"/>
  <c r="V27" i="37"/>
  <c r="V23" i="37"/>
  <c r="V26" i="37"/>
  <c r="V8" i="37"/>
  <c r="V13" i="37"/>
  <c r="V16" i="37"/>
  <c r="W36" i="9"/>
  <c r="Z36" i="9"/>
  <c r="X99" i="9"/>
  <c r="AZ10" i="20"/>
  <c r="AY10" i="20"/>
  <c r="X10" i="20"/>
  <c r="U10" i="20"/>
  <c r="S36" i="9"/>
  <c r="U36" i="9"/>
  <c r="W99" i="9"/>
  <c r="AX6" i="20"/>
  <c r="Z99" i="9"/>
  <c r="BA6" i="20"/>
  <c r="W6" i="20"/>
  <c r="X6" i="20"/>
  <c r="Y99" i="9"/>
  <c r="W10" i="20"/>
  <c r="V6" i="20"/>
  <c r="Y36" i="9"/>
  <c r="AZ6" i="20"/>
  <c r="V10" i="20"/>
  <c r="X36" i="9"/>
  <c r="Y6" i="20"/>
  <c r="BA10" i="20"/>
  <c r="AY6" i="20"/>
  <c r="AX10" i="20"/>
  <c r="Y10" i="20"/>
  <c r="V36" i="9"/>
  <c r="AW10" i="20"/>
  <c r="V99" i="9"/>
  <c r="R36" i="9"/>
  <c r="T36" i="9"/>
  <c r="L10" i="30"/>
  <c r="L11" i="30"/>
  <c r="L9" i="30"/>
  <c r="L4" i="30"/>
  <c r="L3" i="30"/>
  <c r="L5" i="30"/>
  <c r="AJ8" i="20"/>
  <c r="E8" i="10"/>
  <c r="Q11" i="39"/>
  <c r="V11" i="39" s="1"/>
  <c r="T11" i="39"/>
  <c r="S11" i="39"/>
  <c r="O11" i="39"/>
  <c r="U11" i="39" s="1"/>
  <c r="E13" i="10"/>
  <c r="N5" i="30"/>
  <c r="N3" i="30"/>
  <c r="N4" i="30"/>
  <c r="D83" i="3"/>
  <c r="S11" i="4" s="1"/>
  <c r="Y11" i="4" s="1"/>
  <c r="Q21" i="39"/>
  <c r="V21" i="39" s="1"/>
  <c r="O21" i="39"/>
  <c r="U21" i="39" s="1"/>
  <c r="T21" i="39"/>
  <c r="S21" i="39"/>
  <c r="H9" i="4"/>
  <c r="R9" i="6"/>
  <c r="U9" i="6" s="1"/>
  <c r="E9" i="2" s="1"/>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AW11" i="20"/>
  <c r="G64" i="10"/>
  <c r="H95" i="9"/>
  <c r="G96" i="9"/>
  <c r="G91" i="9"/>
  <c r="AH8" i="20"/>
  <c r="E7" i="10"/>
  <c r="F63" i="10"/>
  <c r="AZ8" i="20"/>
  <c r="F107" i="3"/>
  <c r="S5" i="6"/>
  <c r="T5" i="6" s="1"/>
  <c r="AP17" i="20"/>
  <c r="AP16" i="20" s="1"/>
  <c r="N17" i="20"/>
  <c r="N16" i="20" s="1"/>
  <c r="F87" i="3"/>
  <c r="H13" i="4"/>
  <c r="R13" i="6"/>
  <c r="U13" i="6" s="1"/>
  <c r="B13" i="2"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F89" i="3"/>
  <c r="T7" i="6"/>
  <c r="G80" i="9"/>
  <c r="AY8" i="20"/>
  <c r="AG8" i="20"/>
  <c r="E8" i="20"/>
  <c r="F4" i="10"/>
  <c r="E5" i="10"/>
  <c r="F64" i="10"/>
  <c r="D79" i="3"/>
  <c r="S7" i="4" s="1"/>
  <c r="Y7" i="4" s="1"/>
  <c r="D77" i="3"/>
  <c r="S5" i="4" s="1"/>
  <c r="Y5" i="4" s="1"/>
  <c r="H11" i="4"/>
  <c r="R11" i="6"/>
  <c r="U11" i="6" s="1"/>
  <c r="J4" i="10"/>
  <c r="AK8" i="20"/>
  <c r="I8" i="20"/>
  <c r="E11" i="9"/>
  <c r="I7" i="11" s="1"/>
  <c r="I36" i="11" s="1"/>
  <c r="F94" i="9"/>
  <c r="V5" i="9"/>
  <c r="L300" i="30"/>
  <c r="L6" i="30"/>
  <c r="L7" i="30"/>
  <c r="L8" i="30"/>
  <c r="E24" i="10"/>
  <c r="F60" i="10"/>
  <c r="F90" i="3"/>
  <c r="AU8" i="20"/>
  <c r="T4" i="10"/>
  <c r="S8" i="20"/>
  <c r="D84" i="3"/>
  <c r="S12" i="4" s="1"/>
  <c r="Y12" i="4" s="1"/>
  <c r="T4" i="6"/>
  <c r="E10" i="9"/>
  <c r="H7" i="11" s="1"/>
  <c r="H36" i="11" s="1"/>
  <c r="E13" i="9"/>
  <c r="K7" i="11" s="1"/>
  <c r="K36" i="11" s="1"/>
  <c r="F88" i="9"/>
  <c r="Y5" i="9"/>
  <c r="W17" i="20"/>
  <c r="W16" i="20" s="1"/>
  <c r="E22" i="10"/>
  <c r="F61" i="10"/>
  <c r="D85" i="3"/>
  <c r="S13" i="4" s="1"/>
  <c r="E9" i="9"/>
  <c r="G7" i="11" s="1"/>
  <c r="G36" i="11" s="1"/>
  <c r="F81" i="9"/>
  <c r="AW7" i="20"/>
  <c r="G61" i="10"/>
  <c r="W4" i="10"/>
  <c r="E21" i="10"/>
  <c r="L4" i="10"/>
  <c r="AM8" i="20"/>
  <c r="K8" i="20"/>
  <c r="E16" i="20"/>
  <c r="E8" i="4"/>
  <c r="W8" i="4"/>
  <c r="X8" i="4" s="1"/>
  <c r="X15" i="4" s="1"/>
  <c r="M2" i="29"/>
  <c r="E41" i="29"/>
  <c r="E8" i="9"/>
  <c r="F7" i="11" s="1"/>
  <c r="F36" i="11" s="1"/>
  <c r="F96" i="9"/>
  <c r="V9" i="37"/>
  <c r="I5" i="9"/>
  <c r="F113" i="3"/>
  <c r="G60" i="10"/>
  <c r="AI8" i="20"/>
  <c r="K5" i="9"/>
  <c r="AX8" i="20"/>
  <c r="E20" i="10"/>
  <c r="F59" i="10"/>
  <c r="S8" i="6"/>
  <c r="T8" i="6" s="1"/>
  <c r="F110" i="3"/>
  <c r="AG17" i="20"/>
  <c r="W5" i="9"/>
  <c r="E7" i="9"/>
  <c r="E7" i="11" s="1"/>
  <c r="E36" i="11" s="1"/>
  <c r="F91" i="9"/>
  <c r="V14" i="37"/>
  <c r="T11" i="6"/>
  <c r="AW8" i="20"/>
  <c r="V4" i="10"/>
  <c r="U8" i="20"/>
  <c r="H93" i="9"/>
  <c r="H85" i="9"/>
  <c r="G8" i="20"/>
  <c r="S8" i="39"/>
  <c r="Q8" i="39"/>
  <c r="V8" i="39" s="1"/>
  <c r="O8" i="39"/>
  <c r="U8" i="39" s="1"/>
  <c r="T8" i="39"/>
  <c r="G90" i="9"/>
  <c r="R5" i="9"/>
  <c r="E18" i="10"/>
  <c r="F62" i="10"/>
  <c r="K17" i="20"/>
  <c r="K16" i="20" s="1"/>
  <c r="AM17" i="20"/>
  <c r="AM16" i="20" s="1"/>
  <c r="E6" i="9"/>
  <c r="F5" i="9"/>
  <c r="V19" i="37"/>
  <c r="M5" i="30"/>
  <c r="M3" i="30"/>
  <c r="M4" i="30"/>
  <c r="U6" i="20"/>
  <c r="G14" i="4"/>
  <c r="H96" i="9"/>
  <c r="G65" i="10"/>
  <c r="H92" i="9"/>
  <c r="H91" i="9"/>
  <c r="AW12" i="20"/>
  <c r="G81" i="9"/>
  <c r="AP8" i="20"/>
  <c r="N8" i="20"/>
  <c r="O4" i="10"/>
  <c r="R4" i="10"/>
  <c r="AS8" i="20"/>
  <c r="Q8" i="20"/>
  <c r="E17" i="10"/>
  <c r="F65" i="10"/>
  <c r="AL8" i="20"/>
  <c r="K4" i="10"/>
  <c r="J8" i="20"/>
  <c r="K4" i="20"/>
  <c r="AM4" i="20"/>
  <c r="H17" i="20"/>
  <c r="H16" i="20" s="1"/>
  <c r="AJ17" i="20"/>
  <c r="AJ16" i="20" s="1"/>
  <c r="S12" i="6"/>
  <c r="F114" i="3"/>
  <c r="V24" i="37"/>
  <c r="V6" i="37"/>
  <c r="M300" i="30"/>
  <c r="M6" i="30"/>
  <c r="M7" i="30"/>
  <c r="M8" i="30"/>
  <c r="G62" i="10"/>
  <c r="H82" i="9"/>
  <c r="T20" i="37"/>
  <c r="H83" i="9"/>
  <c r="H88" i="9"/>
  <c r="H58" i="10"/>
  <c r="G88" i="9"/>
  <c r="F86" i="3"/>
  <c r="F117" i="3"/>
  <c r="AV17" i="20"/>
  <c r="AV16" i="20" s="1"/>
  <c r="V11" i="37"/>
  <c r="F90" i="9"/>
  <c r="Z5" i="9"/>
  <c r="M11" i="30"/>
  <c r="M9" i="30"/>
  <c r="M10" i="30"/>
  <c r="G98" i="9"/>
  <c r="G59" i="10"/>
  <c r="H98" i="9"/>
  <c r="H87" i="9"/>
  <c r="H94" i="9"/>
  <c r="H63" i="10"/>
  <c r="M5" i="9"/>
  <c r="H4" i="10"/>
  <c r="E16" i="10"/>
  <c r="E13" i="4"/>
  <c r="U7" i="6"/>
  <c r="E7" i="2" s="1"/>
  <c r="H84" i="9"/>
  <c r="H64" i="10"/>
  <c r="G86" i="9"/>
  <c r="G93" i="9"/>
  <c r="AT8" i="20"/>
  <c r="R8" i="20"/>
  <c r="S4" i="10"/>
  <c r="E19" i="10"/>
  <c r="AN8" i="20"/>
  <c r="L8" i="20"/>
  <c r="M4" i="10"/>
  <c r="F111" i="3"/>
  <c r="S9" i="6"/>
  <c r="Q4" i="20"/>
  <c r="AS4" i="20"/>
  <c r="D80" i="3"/>
  <c r="S8" i="4" s="1"/>
  <c r="Y8" i="4" s="1"/>
  <c r="D78" i="3"/>
  <c r="S6" i="4" s="1"/>
  <c r="Y6" i="4" s="1"/>
  <c r="F95" i="3"/>
  <c r="V10" i="37"/>
  <c r="F84" i="9"/>
  <c r="H5" i="9"/>
  <c r="J5" i="9"/>
  <c r="AW6" i="20"/>
  <c r="H80" i="9"/>
  <c r="G87" i="9"/>
  <c r="E12" i="10"/>
  <c r="N10" i="30"/>
  <c r="N11" i="30"/>
  <c r="N9" i="30"/>
  <c r="D81" i="3"/>
  <c r="S9" i="4" s="1"/>
  <c r="Y9" i="4" s="1"/>
  <c r="V12" i="37"/>
  <c r="T10" i="6"/>
  <c r="F92" i="9"/>
  <c r="V5" i="37"/>
  <c r="G83" i="9"/>
  <c r="G57" i="10"/>
  <c r="N5" i="9"/>
  <c r="G92" i="9"/>
  <c r="G95" i="9"/>
  <c r="T8" i="20"/>
  <c r="AQ8" i="20"/>
  <c r="P4" i="10"/>
  <c r="O8" i="20"/>
  <c r="E15" i="10"/>
  <c r="N300" i="30"/>
  <c r="N8" i="30"/>
  <c r="N6" i="30"/>
  <c r="N7" i="30"/>
  <c r="D82" i="3"/>
  <c r="S10" i="4" s="1"/>
  <c r="Y13" i="4"/>
  <c r="F97" i="9"/>
  <c r="F86" i="9"/>
  <c r="F121" i="3"/>
  <c r="F115" i="3"/>
  <c r="I15" i="4"/>
  <c r="G15" i="4"/>
  <c r="I14" i="6"/>
  <c r="B6" i="2"/>
  <c r="B5" i="2"/>
  <c r="C28" i="11"/>
  <c r="W14" i="4"/>
  <c r="D25" i="14"/>
  <c r="B4" i="2"/>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E7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G11" i="26" l="1"/>
  <c r="G35" i="26"/>
  <c r="G9" i="26"/>
  <c r="G33" i="26"/>
  <c r="G10" i="26"/>
  <c r="G34" i="26"/>
  <c r="J13" i="32"/>
  <c r="E44" i="9"/>
  <c r="E41" i="9"/>
  <c r="E60" i="9"/>
  <c r="E46" i="9"/>
  <c r="E66" i="9"/>
  <c r="E45" i="9"/>
  <c r="E40" i="9"/>
  <c r="E61" i="9"/>
  <c r="E64" i="9"/>
  <c r="E43" i="9"/>
  <c r="E63" i="9"/>
  <c r="E65" i="9"/>
  <c r="B8" i="2"/>
  <c r="E8" i="2"/>
  <c r="G3" i="26"/>
  <c r="G7" i="26"/>
  <c r="G31" i="26"/>
  <c r="G22" i="26"/>
  <c r="G13" i="26"/>
  <c r="G25" i="26"/>
  <c r="G16" i="26"/>
  <c r="G28" i="26"/>
  <c r="G19" i="26"/>
  <c r="G6" i="26"/>
  <c r="G21" i="26"/>
  <c r="G12" i="26"/>
  <c r="G24" i="26"/>
  <c r="G15" i="26"/>
  <c r="G27" i="26"/>
  <c r="G18" i="26"/>
  <c r="G30" i="26"/>
  <c r="G5" i="26"/>
  <c r="G23" i="26"/>
  <c r="G32" i="26"/>
  <c r="G14" i="26"/>
  <c r="G26" i="26"/>
  <c r="G17" i="26"/>
  <c r="G29" i="26"/>
  <c r="G20" i="26"/>
  <c r="O433" i="30"/>
  <c r="P433" i="30" s="1"/>
  <c r="O464" i="30"/>
  <c r="P464" i="30" s="1"/>
  <c r="M430" i="30"/>
  <c r="O430" i="30" s="1"/>
  <c r="P430" i="30" s="1"/>
  <c r="M434" i="30"/>
  <c r="O434" i="30" s="1"/>
  <c r="P434" i="30" s="1"/>
  <c r="O465" i="30"/>
  <c r="P465" i="30" s="1"/>
  <c r="O466" i="30"/>
  <c r="P466" i="30" s="1"/>
  <c r="O432" i="30"/>
  <c r="P432" i="30" s="1"/>
  <c r="M452" i="30"/>
  <c r="O452" i="30" s="1"/>
  <c r="P452" i="30" s="1"/>
  <c r="O451" i="30"/>
  <c r="P451" i="30" s="1"/>
  <c r="M422" i="30"/>
  <c r="M429" i="30"/>
  <c r="M421" i="30"/>
  <c r="M428" i="30"/>
  <c r="M418" i="30"/>
  <c r="M420" i="30"/>
  <c r="M417" i="30"/>
  <c r="M419" i="30"/>
  <c r="M404" i="30"/>
  <c r="M407" i="30"/>
  <c r="M403" i="30"/>
  <c r="M406" i="30"/>
  <c r="M388" i="30"/>
  <c r="M381" i="30"/>
  <c r="M376" i="30"/>
  <c r="M371" i="30"/>
  <c r="M366" i="30"/>
  <c r="M361" i="30"/>
  <c r="M356" i="30"/>
  <c r="M351" i="30"/>
  <c r="M346" i="30"/>
  <c r="M341" i="30"/>
  <c r="M383" i="30"/>
  <c r="M378" i="30"/>
  <c r="M373" i="30"/>
  <c r="M368" i="30"/>
  <c r="M363" i="30"/>
  <c r="M358" i="30"/>
  <c r="M353" i="30"/>
  <c r="M348" i="30"/>
  <c r="M343" i="30"/>
  <c r="M385" i="30"/>
  <c r="M380" i="30"/>
  <c r="M375" i="30"/>
  <c r="M370" i="30"/>
  <c r="M365" i="30"/>
  <c r="M360" i="30"/>
  <c r="M355" i="30"/>
  <c r="M350" i="30"/>
  <c r="M345" i="30"/>
  <c r="M340" i="30"/>
  <c r="M382" i="30"/>
  <c r="M377" i="30"/>
  <c r="M372" i="30"/>
  <c r="M367" i="30"/>
  <c r="M362" i="30"/>
  <c r="M357" i="30"/>
  <c r="M352" i="30"/>
  <c r="M347" i="30"/>
  <c r="M342" i="30"/>
  <c r="M384" i="30"/>
  <c r="M379" i="30"/>
  <c r="M374" i="30"/>
  <c r="M369" i="30"/>
  <c r="M364" i="30"/>
  <c r="M359" i="30"/>
  <c r="M354" i="30"/>
  <c r="M349" i="30"/>
  <c r="M344" i="30"/>
  <c r="M413" i="30"/>
  <c r="M415" i="30"/>
  <c r="M414" i="30"/>
  <c r="M416" i="30"/>
  <c r="O468" i="30"/>
  <c r="P468" i="30" s="1"/>
  <c r="M259" i="30"/>
  <c r="M254" i="30"/>
  <c r="M249" i="30"/>
  <c r="M244" i="30"/>
  <c r="M239" i="30"/>
  <c r="M234" i="30"/>
  <c r="M229" i="30"/>
  <c r="M224" i="30"/>
  <c r="M219" i="30"/>
  <c r="M214" i="30"/>
  <c r="M209" i="30"/>
  <c r="M204" i="30"/>
  <c r="M199" i="30"/>
  <c r="M194" i="30"/>
  <c r="M189" i="30"/>
  <c r="M184" i="30"/>
  <c r="M179" i="30"/>
  <c r="M174" i="30"/>
  <c r="M143" i="30"/>
  <c r="M148" i="30"/>
  <c r="M153" i="30"/>
  <c r="M158" i="30"/>
  <c r="M163" i="30"/>
  <c r="M168" i="30"/>
  <c r="M142" i="30"/>
  <c r="M256" i="30"/>
  <c r="M251" i="30"/>
  <c r="M246" i="30"/>
  <c r="M241" i="30"/>
  <c r="M236" i="30"/>
  <c r="M231" i="30"/>
  <c r="M226" i="30"/>
  <c r="M221" i="30"/>
  <c r="M216" i="30"/>
  <c r="M211" i="30"/>
  <c r="M206" i="30"/>
  <c r="M201" i="30"/>
  <c r="M196" i="30"/>
  <c r="M191" i="30"/>
  <c r="M186" i="30"/>
  <c r="M181" i="30"/>
  <c r="M176" i="30"/>
  <c r="M171" i="30"/>
  <c r="M144" i="30"/>
  <c r="M154" i="30"/>
  <c r="M164" i="30"/>
  <c r="M157" i="30"/>
  <c r="M139" i="30"/>
  <c r="M149" i="30"/>
  <c r="M159" i="30"/>
  <c r="M169" i="30"/>
  <c r="M141" i="30"/>
  <c r="M146" i="30"/>
  <c r="M151" i="30"/>
  <c r="M156" i="30"/>
  <c r="M166" i="30"/>
  <c r="M152" i="30"/>
  <c r="M258" i="30"/>
  <c r="M253" i="30"/>
  <c r="M248" i="30"/>
  <c r="M243" i="30"/>
  <c r="M238" i="30"/>
  <c r="M233" i="30"/>
  <c r="M228" i="30"/>
  <c r="M223" i="30"/>
  <c r="M218" i="30"/>
  <c r="M213" i="30"/>
  <c r="M208" i="30"/>
  <c r="M203" i="30"/>
  <c r="M198" i="30"/>
  <c r="M193" i="30"/>
  <c r="M188" i="30"/>
  <c r="M183" i="30"/>
  <c r="M178" i="30"/>
  <c r="M173" i="30"/>
  <c r="M161" i="30"/>
  <c r="M162" i="30"/>
  <c r="M140" i="30"/>
  <c r="M145" i="30"/>
  <c r="M150" i="30"/>
  <c r="M155" i="30"/>
  <c r="M160" i="30"/>
  <c r="M165" i="30"/>
  <c r="M167" i="30"/>
  <c r="M260" i="30"/>
  <c r="M255" i="30"/>
  <c r="M250" i="30"/>
  <c r="M245" i="30"/>
  <c r="M240" i="30"/>
  <c r="M235" i="30"/>
  <c r="M230" i="30"/>
  <c r="M225" i="30"/>
  <c r="M220" i="30"/>
  <c r="M215" i="30"/>
  <c r="M210" i="30"/>
  <c r="M205" i="30"/>
  <c r="M200" i="30"/>
  <c r="M195" i="30"/>
  <c r="M190" i="30"/>
  <c r="M185" i="30"/>
  <c r="M180" i="30"/>
  <c r="M175" i="30"/>
  <c r="M170" i="30"/>
  <c r="M257" i="30"/>
  <c r="M252" i="30"/>
  <c r="M247" i="30"/>
  <c r="M242" i="30"/>
  <c r="M237" i="30"/>
  <c r="M232" i="30"/>
  <c r="M227" i="30"/>
  <c r="M222" i="30"/>
  <c r="M217" i="30"/>
  <c r="M212" i="30"/>
  <c r="M207" i="30"/>
  <c r="M202" i="30"/>
  <c r="M197" i="30"/>
  <c r="M192" i="30"/>
  <c r="M187" i="30"/>
  <c r="M182" i="30"/>
  <c r="M177" i="30"/>
  <c r="M172" i="30"/>
  <c r="M147" i="30"/>
  <c r="M336" i="30"/>
  <c r="M331" i="30"/>
  <c r="M326" i="30"/>
  <c r="M321" i="30"/>
  <c r="M316" i="30"/>
  <c r="M311" i="30"/>
  <c r="M306" i="30"/>
  <c r="M301" i="30"/>
  <c r="M338" i="30"/>
  <c r="M333" i="30"/>
  <c r="M328" i="30"/>
  <c r="M323" i="30"/>
  <c r="M318" i="30"/>
  <c r="M313" i="30"/>
  <c r="M308" i="30"/>
  <c r="M303" i="30"/>
  <c r="M335" i="30"/>
  <c r="M330" i="30"/>
  <c r="M325" i="30"/>
  <c r="M320" i="30"/>
  <c r="M315" i="30"/>
  <c r="M310" i="30"/>
  <c r="M305" i="30"/>
  <c r="M431" i="30"/>
  <c r="M337" i="30"/>
  <c r="M332" i="30"/>
  <c r="M327" i="30"/>
  <c r="M322" i="30"/>
  <c r="M317" i="30"/>
  <c r="M312" i="30"/>
  <c r="M307" i="30"/>
  <c r="M302" i="30"/>
  <c r="M339" i="30"/>
  <c r="M334" i="30"/>
  <c r="M329" i="30"/>
  <c r="M324" i="30"/>
  <c r="M319" i="30"/>
  <c r="M314" i="30"/>
  <c r="M309" i="30"/>
  <c r="M304" i="30"/>
  <c r="M299" i="30"/>
  <c r="M294" i="30"/>
  <c r="M289" i="30"/>
  <c r="M284" i="30"/>
  <c r="M279" i="30"/>
  <c r="M274" i="30"/>
  <c r="M269" i="30"/>
  <c r="M264" i="30"/>
  <c r="M12" i="30"/>
  <c r="M49" i="30"/>
  <c r="M14" i="30"/>
  <c r="M19" i="30"/>
  <c r="M24" i="30"/>
  <c r="M29" i="30"/>
  <c r="M34" i="30"/>
  <c r="M39" i="30"/>
  <c r="M44" i="30"/>
  <c r="M53" i="30"/>
  <c r="M58" i="30"/>
  <c r="M63" i="30"/>
  <c r="M68" i="30"/>
  <c r="M73" i="30"/>
  <c r="M78" i="30"/>
  <c r="M83" i="30"/>
  <c r="M88" i="30"/>
  <c r="M93" i="30"/>
  <c r="M98" i="30"/>
  <c r="M103" i="30"/>
  <c r="M108" i="30"/>
  <c r="M113" i="30"/>
  <c r="M118" i="30"/>
  <c r="M123" i="30"/>
  <c r="M128" i="30"/>
  <c r="M133" i="30"/>
  <c r="M138" i="30"/>
  <c r="M18" i="30"/>
  <c r="M82" i="30"/>
  <c r="M112" i="30"/>
  <c r="M296" i="30"/>
  <c r="M291" i="30"/>
  <c r="M286" i="30"/>
  <c r="M281" i="30"/>
  <c r="M276" i="30"/>
  <c r="M271" i="30"/>
  <c r="M266" i="30"/>
  <c r="M261" i="30"/>
  <c r="M50" i="30"/>
  <c r="M15" i="30"/>
  <c r="M20" i="30"/>
  <c r="M25" i="30"/>
  <c r="M35" i="30"/>
  <c r="M40" i="30"/>
  <c r="M45" i="30"/>
  <c r="M54" i="30"/>
  <c r="M64" i="30"/>
  <c r="M74" i="30"/>
  <c r="M84" i="30"/>
  <c r="M94" i="30"/>
  <c r="M104" i="30"/>
  <c r="M114" i="30"/>
  <c r="M124" i="30"/>
  <c r="M134" i="30"/>
  <c r="M43" i="30"/>
  <c r="M67" i="30"/>
  <c r="M97" i="30"/>
  <c r="M127" i="30"/>
  <c r="M30" i="30"/>
  <c r="M59" i="30"/>
  <c r="M69" i="30"/>
  <c r="M79" i="30"/>
  <c r="M89" i="30"/>
  <c r="M99" i="30"/>
  <c r="M109" i="30"/>
  <c r="M119" i="30"/>
  <c r="M129" i="30"/>
  <c r="M52" i="30"/>
  <c r="M17" i="30"/>
  <c r="M22" i="30"/>
  <c r="M27" i="30"/>
  <c r="M32" i="30"/>
  <c r="M37" i="30"/>
  <c r="M42" i="30"/>
  <c r="M47" i="30"/>
  <c r="M56" i="30"/>
  <c r="M61" i="30"/>
  <c r="M66" i="30"/>
  <c r="M71" i="30"/>
  <c r="M76" i="30"/>
  <c r="M81" i="30"/>
  <c r="M86" i="30"/>
  <c r="M91" i="30"/>
  <c r="M96" i="30"/>
  <c r="M101" i="30"/>
  <c r="M106" i="30"/>
  <c r="M111" i="30"/>
  <c r="M116" i="30"/>
  <c r="M121" i="30"/>
  <c r="M126" i="30"/>
  <c r="M131" i="30"/>
  <c r="M77" i="30"/>
  <c r="M122" i="30"/>
  <c r="M298" i="30"/>
  <c r="M293" i="30"/>
  <c r="M288" i="30"/>
  <c r="M283" i="30"/>
  <c r="M278" i="30"/>
  <c r="M273" i="30"/>
  <c r="M268" i="30"/>
  <c r="M263" i="30"/>
  <c r="M136" i="30"/>
  <c r="M28" i="30"/>
  <c r="M38" i="30"/>
  <c r="M48" i="30"/>
  <c r="M72" i="30"/>
  <c r="M102" i="30"/>
  <c r="M132" i="30"/>
  <c r="M51" i="30"/>
  <c r="M16" i="30"/>
  <c r="M21" i="30"/>
  <c r="M26" i="30"/>
  <c r="M31" i="30"/>
  <c r="M36" i="30"/>
  <c r="M41" i="30"/>
  <c r="M46" i="30"/>
  <c r="M55" i="30"/>
  <c r="M60" i="30"/>
  <c r="M65" i="30"/>
  <c r="M70" i="30"/>
  <c r="M75" i="30"/>
  <c r="M80" i="30"/>
  <c r="M85" i="30"/>
  <c r="M90" i="30"/>
  <c r="M95" i="30"/>
  <c r="M100" i="30"/>
  <c r="M105" i="30"/>
  <c r="M110" i="30"/>
  <c r="M115" i="30"/>
  <c r="M120" i="30"/>
  <c r="M125" i="30"/>
  <c r="M130" i="30"/>
  <c r="M135" i="30"/>
  <c r="M23" i="30"/>
  <c r="M33" i="30"/>
  <c r="M57" i="30"/>
  <c r="M87" i="30"/>
  <c r="M107" i="30"/>
  <c r="M137" i="30"/>
  <c r="M295" i="30"/>
  <c r="M290" i="30"/>
  <c r="M285" i="30"/>
  <c r="M280" i="30"/>
  <c r="M275" i="30"/>
  <c r="M270" i="30"/>
  <c r="M265" i="30"/>
  <c r="M297" i="30"/>
  <c r="M292" i="30"/>
  <c r="M287" i="30"/>
  <c r="M282" i="30"/>
  <c r="M277" i="30"/>
  <c r="M272" i="30"/>
  <c r="M267" i="30"/>
  <c r="M262" i="30"/>
  <c r="M13" i="30"/>
  <c r="M62" i="30"/>
  <c r="M92" i="30"/>
  <c r="M117" i="30"/>
  <c r="N385" i="30"/>
  <c r="N383" i="30"/>
  <c r="N381" i="30"/>
  <c r="N379" i="30"/>
  <c r="N377" i="30"/>
  <c r="N375" i="30"/>
  <c r="N373" i="30"/>
  <c r="N371" i="30"/>
  <c r="N369" i="30"/>
  <c r="N367" i="30"/>
  <c r="N365" i="30"/>
  <c r="N363" i="30"/>
  <c r="N361" i="30"/>
  <c r="N359" i="30"/>
  <c r="N357" i="30"/>
  <c r="O357" i="30" s="1"/>
  <c r="P357" i="30" s="1"/>
  <c r="N355" i="30"/>
  <c r="N353" i="30"/>
  <c r="N351" i="30"/>
  <c r="N349" i="30"/>
  <c r="N347" i="30"/>
  <c r="N345" i="30"/>
  <c r="N343" i="30"/>
  <c r="N341" i="30"/>
  <c r="N388" i="30"/>
  <c r="N384" i="30"/>
  <c r="N382" i="30"/>
  <c r="N380" i="30"/>
  <c r="N378" i="30"/>
  <c r="N376" i="30"/>
  <c r="N374" i="30"/>
  <c r="N372" i="30"/>
  <c r="N370" i="30"/>
  <c r="N368" i="30"/>
  <c r="N366" i="30"/>
  <c r="N364" i="30"/>
  <c r="N362" i="30"/>
  <c r="N360" i="30"/>
  <c r="N358" i="30"/>
  <c r="N356" i="30"/>
  <c r="N354" i="30"/>
  <c r="N352" i="30"/>
  <c r="N350" i="30"/>
  <c r="N348" i="30"/>
  <c r="N346" i="30"/>
  <c r="N344" i="30"/>
  <c r="N342" i="30"/>
  <c r="N340" i="30"/>
  <c r="N428" i="30"/>
  <c r="N421" i="30"/>
  <c r="N429" i="30"/>
  <c r="N422" i="30"/>
  <c r="N142" i="30"/>
  <c r="N162" i="30"/>
  <c r="N260" i="30"/>
  <c r="N258" i="30"/>
  <c r="N256" i="30"/>
  <c r="N254" i="30"/>
  <c r="N252" i="30"/>
  <c r="N250" i="30"/>
  <c r="N248" i="30"/>
  <c r="N246" i="30"/>
  <c r="N244" i="30"/>
  <c r="N242" i="30"/>
  <c r="N240" i="30"/>
  <c r="N238" i="30"/>
  <c r="N236" i="30"/>
  <c r="N234" i="30"/>
  <c r="N232" i="30"/>
  <c r="N230" i="30"/>
  <c r="N228" i="30"/>
  <c r="N226" i="30"/>
  <c r="N224" i="30"/>
  <c r="N222" i="30"/>
  <c r="N220" i="30"/>
  <c r="N218" i="30"/>
  <c r="N216" i="30"/>
  <c r="N214" i="30"/>
  <c r="N212" i="30"/>
  <c r="N210" i="30"/>
  <c r="O210" i="30" s="1"/>
  <c r="P210" i="30" s="1"/>
  <c r="N208" i="30"/>
  <c r="N206" i="30"/>
  <c r="N204" i="30"/>
  <c r="N202" i="30"/>
  <c r="N200" i="30"/>
  <c r="N198" i="30"/>
  <c r="N196" i="30"/>
  <c r="N194" i="30"/>
  <c r="N192" i="30"/>
  <c r="N190" i="30"/>
  <c r="N188" i="30"/>
  <c r="N186" i="30"/>
  <c r="N184" i="30"/>
  <c r="N182" i="30"/>
  <c r="N180" i="30"/>
  <c r="N178" i="30"/>
  <c r="N176" i="30"/>
  <c r="N174" i="30"/>
  <c r="N172" i="30"/>
  <c r="N170" i="30"/>
  <c r="N145" i="30"/>
  <c r="N155" i="30"/>
  <c r="N165" i="30"/>
  <c r="N139" i="30"/>
  <c r="N149" i="30"/>
  <c r="N159" i="30"/>
  <c r="N169" i="30"/>
  <c r="N146" i="30"/>
  <c r="N156" i="30"/>
  <c r="N166" i="30"/>
  <c r="N143" i="30"/>
  <c r="N153" i="30"/>
  <c r="N163" i="30"/>
  <c r="N140" i="30"/>
  <c r="N160" i="30"/>
  <c r="O160" i="30" s="1"/>
  <c r="P160" i="30" s="1"/>
  <c r="N147" i="30"/>
  <c r="N152" i="30"/>
  <c r="N259" i="30"/>
  <c r="N257" i="30"/>
  <c r="N255" i="30"/>
  <c r="N253" i="30"/>
  <c r="N251" i="30"/>
  <c r="N249" i="30"/>
  <c r="N247" i="30"/>
  <c r="N245" i="30"/>
  <c r="N243" i="30"/>
  <c r="N241" i="30"/>
  <c r="N239" i="30"/>
  <c r="N237" i="30"/>
  <c r="N235" i="30"/>
  <c r="N233" i="30"/>
  <c r="N231" i="30"/>
  <c r="N229" i="30"/>
  <c r="N227" i="30"/>
  <c r="N225" i="30"/>
  <c r="N223" i="30"/>
  <c r="N221" i="30"/>
  <c r="N219" i="30"/>
  <c r="N217" i="30"/>
  <c r="N215" i="30"/>
  <c r="N213" i="30"/>
  <c r="N211" i="30"/>
  <c r="N209" i="30"/>
  <c r="N207" i="30"/>
  <c r="N205" i="30"/>
  <c r="N203" i="30"/>
  <c r="N201" i="30"/>
  <c r="N199" i="30"/>
  <c r="N197" i="30"/>
  <c r="N195" i="30"/>
  <c r="N193" i="30"/>
  <c r="N191" i="30"/>
  <c r="N189" i="30"/>
  <c r="N187" i="30"/>
  <c r="N185" i="30"/>
  <c r="N183" i="30"/>
  <c r="N181" i="30"/>
  <c r="N179" i="30"/>
  <c r="N177" i="30"/>
  <c r="N175" i="30"/>
  <c r="N173" i="30"/>
  <c r="N171" i="30"/>
  <c r="N150" i="30"/>
  <c r="N157" i="30"/>
  <c r="N167" i="30"/>
  <c r="N144" i="30"/>
  <c r="N154" i="30"/>
  <c r="N164" i="30"/>
  <c r="N141" i="30"/>
  <c r="N151" i="30"/>
  <c r="N161" i="30"/>
  <c r="N148" i="30"/>
  <c r="N158" i="30"/>
  <c r="N168" i="30"/>
  <c r="N419" i="30"/>
  <c r="N417" i="30"/>
  <c r="N420" i="30"/>
  <c r="N418" i="30"/>
  <c r="N406" i="30"/>
  <c r="N403" i="30"/>
  <c r="N407" i="30"/>
  <c r="N404" i="30"/>
  <c r="N447" i="30"/>
  <c r="O447" i="30" s="1"/>
  <c r="P447" i="30" s="1"/>
  <c r="N445" i="30"/>
  <c r="O445" i="30" s="1"/>
  <c r="P445" i="30" s="1"/>
  <c r="N443" i="30"/>
  <c r="O443" i="30" s="1"/>
  <c r="P443" i="30" s="1"/>
  <c r="N441" i="30"/>
  <c r="O441" i="30" s="1"/>
  <c r="P441" i="30" s="1"/>
  <c r="N439" i="30"/>
  <c r="O439" i="30" s="1"/>
  <c r="P439" i="30" s="1"/>
  <c r="N437" i="30"/>
  <c r="O437" i="30" s="1"/>
  <c r="P437" i="30" s="1"/>
  <c r="N435" i="30"/>
  <c r="O435" i="30" s="1"/>
  <c r="P435" i="30" s="1"/>
  <c r="N448" i="30"/>
  <c r="O448" i="30" s="1"/>
  <c r="P448" i="30" s="1"/>
  <c r="N446" i="30"/>
  <c r="O446" i="30" s="1"/>
  <c r="P446" i="30" s="1"/>
  <c r="N444" i="30"/>
  <c r="O444" i="30" s="1"/>
  <c r="P444" i="30" s="1"/>
  <c r="N442" i="30"/>
  <c r="O442" i="30" s="1"/>
  <c r="P442" i="30" s="1"/>
  <c r="N440" i="30"/>
  <c r="O440" i="30" s="1"/>
  <c r="P440" i="30" s="1"/>
  <c r="N438" i="30"/>
  <c r="O438" i="30" s="1"/>
  <c r="P438" i="30" s="1"/>
  <c r="N436" i="30"/>
  <c r="O436" i="30" s="1"/>
  <c r="P436" i="30" s="1"/>
  <c r="N415" i="30"/>
  <c r="N413" i="30"/>
  <c r="N416" i="30"/>
  <c r="N414" i="30"/>
  <c r="N339" i="30"/>
  <c r="N337" i="30"/>
  <c r="N335" i="30"/>
  <c r="N333" i="30"/>
  <c r="N331" i="30"/>
  <c r="N329" i="30"/>
  <c r="N327" i="30"/>
  <c r="N325" i="30"/>
  <c r="N323" i="30"/>
  <c r="N321" i="30"/>
  <c r="N319" i="30"/>
  <c r="N317" i="30"/>
  <c r="N315" i="30"/>
  <c r="N313" i="30"/>
  <c r="N311" i="30"/>
  <c r="N309" i="30"/>
  <c r="N307" i="30"/>
  <c r="N305" i="30"/>
  <c r="N303" i="30"/>
  <c r="N301" i="30"/>
  <c r="N328" i="30"/>
  <c r="N324" i="30"/>
  <c r="N318" i="30"/>
  <c r="N312" i="30"/>
  <c r="N306" i="30"/>
  <c r="N302" i="30"/>
  <c r="N332" i="30"/>
  <c r="N322" i="30"/>
  <c r="N316" i="30"/>
  <c r="N310" i="30"/>
  <c r="N304" i="30"/>
  <c r="N431" i="30"/>
  <c r="N338" i="30"/>
  <c r="N336" i="30"/>
  <c r="N334" i="30"/>
  <c r="N330" i="30"/>
  <c r="N326" i="30"/>
  <c r="N320" i="30"/>
  <c r="N314" i="30"/>
  <c r="N308" i="30"/>
  <c r="N18" i="30"/>
  <c r="N38" i="30"/>
  <c r="N48" i="30"/>
  <c r="N62" i="30"/>
  <c r="N72" i="30"/>
  <c r="N82" i="30"/>
  <c r="N102" i="30"/>
  <c r="N122" i="30"/>
  <c r="N298" i="30"/>
  <c r="N296" i="30"/>
  <c r="N294" i="30"/>
  <c r="N292" i="30"/>
  <c r="N290" i="30"/>
  <c r="N288" i="30"/>
  <c r="N286" i="30"/>
  <c r="N284" i="30"/>
  <c r="N282" i="30"/>
  <c r="N280" i="30"/>
  <c r="N278" i="30"/>
  <c r="N276" i="30"/>
  <c r="N274" i="30"/>
  <c r="N272" i="30"/>
  <c r="N270" i="30"/>
  <c r="N268" i="30"/>
  <c r="N266" i="30"/>
  <c r="N264" i="30"/>
  <c r="N262" i="30"/>
  <c r="N51" i="30"/>
  <c r="N21" i="30"/>
  <c r="N31" i="30"/>
  <c r="N41" i="30"/>
  <c r="N55" i="30"/>
  <c r="N65" i="30"/>
  <c r="N75" i="30"/>
  <c r="N85" i="30"/>
  <c r="N95" i="30"/>
  <c r="N105" i="30"/>
  <c r="N115" i="30"/>
  <c r="N125" i="30"/>
  <c r="N135" i="30"/>
  <c r="N28" i="30"/>
  <c r="N92" i="30"/>
  <c r="N15" i="30"/>
  <c r="N25" i="30"/>
  <c r="N35" i="30"/>
  <c r="N45" i="30"/>
  <c r="N59" i="30"/>
  <c r="N69" i="30"/>
  <c r="N79" i="30"/>
  <c r="N89" i="30"/>
  <c r="N99" i="30"/>
  <c r="N109" i="30"/>
  <c r="N119" i="30"/>
  <c r="N129" i="30"/>
  <c r="N52" i="30"/>
  <c r="N22" i="30"/>
  <c r="N32" i="30"/>
  <c r="N56" i="30"/>
  <c r="N66" i="30"/>
  <c r="N76" i="30"/>
  <c r="N86" i="30"/>
  <c r="N96" i="30"/>
  <c r="N106" i="30"/>
  <c r="N116" i="30"/>
  <c r="N126" i="30"/>
  <c r="N136" i="30"/>
  <c r="N49" i="30"/>
  <c r="N16" i="30"/>
  <c r="N26" i="30"/>
  <c r="N36" i="30"/>
  <c r="N46" i="30"/>
  <c r="N60" i="30"/>
  <c r="N70" i="30"/>
  <c r="N80" i="30"/>
  <c r="N90" i="30"/>
  <c r="N100" i="30"/>
  <c r="N110" i="30"/>
  <c r="N120" i="30"/>
  <c r="N130" i="30"/>
  <c r="N42" i="30"/>
  <c r="N19" i="30"/>
  <c r="N29" i="30"/>
  <c r="N39" i="30"/>
  <c r="N53" i="30"/>
  <c r="N63" i="30"/>
  <c r="N73" i="30"/>
  <c r="N83" i="30"/>
  <c r="N93" i="30"/>
  <c r="N103" i="30"/>
  <c r="N113" i="30"/>
  <c r="N123" i="30"/>
  <c r="N67" i="30"/>
  <c r="N127" i="30"/>
  <c r="N112" i="30"/>
  <c r="N132" i="30"/>
  <c r="N299" i="30"/>
  <c r="N297" i="30"/>
  <c r="N295" i="30"/>
  <c r="N293" i="30"/>
  <c r="N291" i="30"/>
  <c r="N289" i="30"/>
  <c r="N287" i="30"/>
  <c r="N285" i="30"/>
  <c r="N283" i="30"/>
  <c r="N281" i="30"/>
  <c r="N279" i="30"/>
  <c r="N277" i="30"/>
  <c r="N275" i="30"/>
  <c r="N273" i="30"/>
  <c r="N271" i="30"/>
  <c r="N269" i="30"/>
  <c r="N267" i="30"/>
  <c r="N265" i="30"/>
  <c r="N263" i="30"/>
  <c r="N261" i="30"/>
  <c r="N133" i="30"/>
  <c r="N12" i="30"/>
  <c r="N23" i="30"/>
  <c r="N33" i="30"/>
  <c r="N57" i="30"/>
  <c r="N87" i="30"/>
  <c r="N97" i="30"/>
  <c r="N117" i="30"/>
  <c r="N13" i="30"/>
  <c r="N43" i="30"/>
  <c r="N77" i="30"/>
  <c r="N107" i="30"/>
  <c r="N137" i="30"/>
  <c r="N50" i="30"/>
  <c r="N20" i="30"/>
  <c r="N30" i="30"/>
  <c r="N40" i="30"/>
  <c r="N54" i="30"/>
  <c r="N64" i="30"/>
  <c r="N74" i="30"/>
  <c r="N84" i="30"/>
  <c r="N94" i="30"/>
  <c r="N104" i="30"/>
  <c r="N114" i="30"/>
  <c r="N124" i="30"/>
  <c r="N134" i="30"/>
  <c r="N17" i="30"/>
  <c r="N27" i="30"/>
  <c r="N37" i="30"/>
  <c r="N47" i="30"/>
  <c r="N61" i="30"/>
  <c r="N71" i="30"/>
  <c r="N81" i="30"/>
  <c r="N91" i="30"/>
  <c r="N101" i="30"/>
  <c r="N111" i="30"/>
  <c r="N121" i="30"/>
  <c r="N131" i="30"/>
  <c r="N14" i="30"/>
  <c r="N24" i="30"/>
  <c r="N34" i="30"/>
  <c r="N44" i="30"/>
  <c r="N58" i="30"/>
  <c r="N68" i="30"/>
  <c r="N78" i="30"/>
  <c r="N88" i="30"/>
  <c r="N98" i="30"/>
  <c r="N108" i="30"/>
  <c r="N118" i="30"/>
  <c r="N128" i="30"/>
  <c r="N138" i="30"/>
  <c r="T6" i="20"/>
  <c r="AV11" i="20"/>
  <c r="AV10" i="20"/>
  <c r="U55" i="10"/>
  <c r="U78" i="9"/>
  <c r="AV6" i="20"/>
  <c r="T11" i="20"/>
  <c r="T12" i="20"/>
  <c r="AV7" i="20"/>
  <c r="AV12" i="20"/>
  <c r="T10" i="20"/>
  <c r="U99" i="9"/>
  <c r="T7" i="20"/>
  <c r="Q6" i="20"/>
  <c r="O11" i="20"/>
  <c r="AQ12" i="20"/>
  <c r="R55" i="10"/>
  <c r="S4" i="9"/>
  <c r="AU7" i="20"/>
  <c r="AR7" i="20"/>
  <c r="AR10" i="20"/>
  <c r="S55" i="10"/>
  <c r="S6" i="20"/>
  <c r="R78" i="9"/>
  <c r="AS6" i="20"/>
  <c r="O12" i="20"/>
  <c r="S12" i="20"/>
  <c r="AQ11" i="20"/>
  <c r="Q7" i="20"/>
  <c r="AR12" i="20"/>
  <c r="T99" i="9"/>
  <c r="R11" i="20"/>
  <c r="Q12" i="20"/>
  <c r="R7" i="20"/>
  <c r="Q11" i="20"/>
  <c r="P12" i="20"/>
  <c r="P78" i="9"/>
  <c r="S11" i="20"/>
  <c r="AR6" i="20"/>
  <c r="AU12" i="20"/>
  <c r="S99" i="9"/>
  <c r="AQ7" i="20"/>
  <c r="AU6" i="20"/>
  <c r="AR11" i="20"/>
  <c r="Q99" i="9"/>
  <c r="AS7" i="20"/>
  <c r="P55" i="10"/>
  <c r="T55" i="10"/>
  <c r="P7" i="20"/>
  <c r="Q55" i="10"/>
  <c r="R99" i="9"/>
  <c r="S10" i="20"/>
  <c r="AT6" i="20"/>
  <c r="R12" i="20"/>
  <c r="AT10" i="20"/>
  <c r="P11" i="20"/>
  <c r="AS10" i="20"/>
  <c r="P10" i="20"/>
  <c r="AU11" i="20"/>
  <c r="R6" i="20"/>
  <c r="R10" i="20"/>
  <c r="AS12" i="20"/>
  <c r="AU10" i="20"/>
  <c r="S7" i="20"/>
  <c r="O7" i="20"/>
  <c r="AT12" i="20"/>
  <c r="AT7" i="20"/>
  <c r="Q78" i="9"/>
  <c r="P6" i="20"/>
  <c r="Q10" i="20"/>
  <c r="T78" i="9"/>
  <c r="S78" i="9"/>
  <c r="AT11" i="20"/>
  <c r="AS11" i="20"/>
  <c r="AP12" i="20"/>
  <c r="N11" i="20"/>
  <c r="AP7" i="20"/>
  <c r="AP11" i="20"/>
  <c r="M12" i="20"/>
  <c r="L12" i="20"/>
  <c r="AO12" i="20"/>
  <c r="N55" i="10"/>
  <c r="N7" i="20"/>
  <c r="O78" i="9"/>
  <c r="N12" i="20"/>
  <c r="AM11" i="20"/>
  <c r="AO7" i="20"/>
  <c r="O55" i="10"/>
  <c r="L7" i="20"/>
  <c r="AO11" i="20"/>
  <c r="M11" i="20"/>
  <c r="AM7" i="20"/>
  <c r="M7" i="20"/>
  <c r="N78" i="9"/>
  <c r="L55" i="10"/>
  <c r="AN11" i="20"/>
  <c r="M55" i="10"/>
  <c r="AN7" i="20"/>
  <c r="L11" i="20"/>
  <c r="M78" i="9"/>
  <c r="K7" i="20"/>
  <c r="K12" i="20"/>
  <c r="AN12" i="20"/>
  <c r="E79" i="9"/>
  <c r="K11" i="20"/>
  <c r="L78" i="9"/>
  <c r="AM12" i="20"/>
  <c r="E89" i="9"/>
  <c r="K78" i="9"/>
  <c r="J12" i="20"/>
  <c r="I55" i="10"/>
  <c r="I7" i="20"/>
  <c r="J7" i="20"/>
  <c r="AL12" i="20"/>
  <c r="K55" i="10"/>
  <c r="AL7" i="20"/>
  <c r="H12" i="20"/>
  <c r="AK11" i="20"/>
  <c r="I12" i="20"/>
  <c r="AL11" i="20"/>
  <c r="AK7" i="20"/>
  <c r="J11" i="20"/>
  <c r="J55" i="10"/>
  <c r="I11" i="20"/>
  <c r="AK12" i="20"/>
  <c r="AJ7" i="20"/>
  <c r="J12" i="11"/>
  <c r="J41" i="11" s="1"/>
  <c r="J78" i="9"/>
  <c r="AJ11" i="20"/>
  <c r="AJ12" i="20"/>
  <c r="H11" i="20"/>
  <c r="I78" i="9"/>
  <c r="H7" i="20"/>
  <c r="E56" i="10"/>
  <c r="D13" i="11" s="1"/>
  <c r="D42" i="11" s="1"/>
  <c r="I12" i="11"/>
  <c r="I41" i="11" s="1"/>
  <c r="X5" i="20"/>
  <c r="V5" i="20"/>
  <c r="V9" i="20"/>
  <c r="X77" i="9"/>
  <c r="AZ9" i="20"/>
  <c r="Y77" i="9"/>
  <c r="W77" i="9"/>
  <c r="Y5" i="20"/>
  <c r="E80" i="9"/>
  <c r="Y9" i="20"/>
  <c r="W9" i="20"/>
  <c r="X9" i="20"/>
  <c r="Z77" i="9"/>
  <c r="AY9" i="20"/>
  <c r="BA9" i="20"/>
  <c r="BA5" i="20"/>
  <c r="E95" i="9"/>
  <c r="AZ5" i="20"/>
  <c r="E14" i="4"/>
  <c r="F78" i="9"/>
  <c r="W5" i="20"/>
  <c r="Q4" i="9"/>
  <c r="Y4" i="9"/>
  <c r="S14" i="6"/>
  <c r="E63" i="10"/>
  <c r="K13" i="11" s="1"/>
  <c r="K42" i="11" s="1"/>
  <c r="E58" i="10"/>
  <c r="F13" i="11" s="1"/>
  <c r="F42" i="11" s="1"/>
  <c r="D4" i="20"/>
  <c r="G7" i="20"/>
  <c r="S14" i="4"/>
  <c r="E98" i="9"/>
  <c r="G8" i="26"/>
  <c r="K12" i="11"/>
  <c r="K41" i="11" s="1"/>
  <c r="E15" i="4"/>
  <c r="L12" i="11"/>
  <c r="L41" i="11" s="1"/>
  <c r="AX5" i="20"/>
  <c r="AH7" i="20"/>
  <c r="E65" i="10"/>
  <c r="M13" i="11" s="1"/>
  <c r="M42" i="11" s="1"/>
  <c r="AF4" i="20"/>
  <c r="M12" i="11"/>
  <c r="M41" i="11" s="1"/>
  <c r="U4" i="9"/>
  <c r="Z4" i="9"/>
  <c r="O8" i="30"/>
  <c r="P8" i="30" s="1"/>
  <c r="O7" i="30"/>
  <c r="P7" i="30" s="1"/>
  <c r="V77" i="9"/>
  <c r="AY5" i="20"/>
  <c r="O6" i="30"/>
  <c r="P6" i="30" s="1"/>
  <c r="E85" i="9"/>
  <c r="E86" i="9"/>
  <c r="AW5" i="20"/>
  <c r="O300" i="30"/>
  <c r="P300" i="30" s="1"/>
  <c r="E93" i="9"/>
  <c r="U9" i="20"/>
  <c r="M14" i="6"/>
  <c r="N4" i="6"/>
  <c r="G4" i="26"/>
  <c r="X14" i="4"/>
  <c r="F12" i="20"/>
  <c r="G12" i="20"/>
  <c r="E88" i="9"/>
  <c r="X4" i="9"/>
  <c r="M15" i="6"/>
  <c r="T12" i="6"/>
  <c r="AX9" i="20"/>
  <c r="W4" i="9"/>
  <c r="V4" i="9"/>
  <c r="AW9" i="20"/>
  <c r="R4" i="9"/>
  <c r="T4" i="9"/>
  <c r="B9" i="2"/>
  <c r="B11" i="2"/>
  <c r="U14" i="6"/>
  <c r="Y10" i="4"/>
  <c r="E62" i="10"/>
  <c r="J13" i="11" s="1"/>
  <c r="J42" i="11" s="1"/>
  <c r="R14" i="6"/>
  <c r="AG11" i="20"/>
  <c r="T13" i="6"/>
  <c r="E84" i="9"/>
  <c r="E91" i="9"/>
  <c r="AH11" i="20"/>
  <c r="G78" i="9"/>
  <c r="G12" i="11"/>
  <c r="AH12" i="20"/>
  <c r="G6" i="39"/>
  <c r="E96" i="9"/>
  <c r="E94" i="9"/>
  <c r="H14" i="4"/>
  <c r="H15" i="4"/>
  <c r="AI12" i="20"/>
  <c r="B7" i="2"/>
  <c r="E92" i="9"/>
  <c r="S15" i="6"/>
  <c r="E87" i="9"/>
  <c r="U5" i="20"/>
  <c r="AF17" i="20"/>
  <c r="AG16" i="20"/>
  <c r="AF16" i="20" s="1"/>
  <c r="O5" i="30"/>
  <c r="P5" i="30" s="1"/>
  <c r="E4" i="10"/>
  <c r="D12" i="11"/>
  <c r="E81" i="9"/>
  <c r="F12" i="11"/>
  <c r="H55" i="10"/>
  <c r="O3" i="30"/>
  <c r="P3" i="30" s="1"/>
  <c r="AI7" i="20"/>
  <c r="D8" i="20"/>
  <c r="E11" i="20"/>
  <c r="AF8" i="20"/>
  <c r="G55" i="10"/>
  <c r="O4" i="30"/>
  <c r="P4" i="30" s="1"/>
  <c r="E59" i="10"/>
  <c r="G13" i="11" s="1"/>
  <c r="G42" i="11" s="1"/>
  <c r="O9" i="30"/>
  <c r="P9" i="30" s="1"/>
  <c r="T9" i="6"/>
  <c r="D16" i="20"/>
  <c r="O11" i="30"/>
  <c r="P11" i="30" s="1"/>
  <c r="F7" i="20"/>
  <c r="D17" i="20"/>
  <c r="E61" i="10"/>
  <c r="I13" i="11" s="1"/>
  <c r="I42" i="11" s="1"/>
  <c r="E60" i="10"/>
  <c r="H13" i="11" s="1"/>
  <c r="E12" i="11"/>
  <c r="E82" i="9"/>
  <c r="F11" i="20"/>
  <c r="O10" i="30"/>
  <c r="P10" i="30" s="1"/>
  <c r="AI11" i="20"/>
  <c r="H78" i="9"/>
  <c r="G11" i="20"/>
  <c r="E97" i="9"/>
  <c r="E83" i="9"/>
  <c r="E57" i="10"/>
  <c r="E13" i="11" s="1"/>
  <c r="E42" i="11" s="1"/>
  <c r="E12" i="20"/>
  <c r="AG12" i="20"/>
  <c r="F55" i="10"/>
  <c r="AG7" i="20"/>
  <c r="E90" i="9"/>
  <c r="E7" i="20"/>
  <c r="D7" i="11"/>
  <c r="G7" i="39"/>
  <c r="E5" i="9"/>
  <c r="E64" i="10"/>
  <c r="L13" i="11" s="1"/>
  <c r="L42" i="11" s="1"/>
  <c r="H12" i="11"/>
  <c r="H41" i="11" s="1"/>
  <c r="R8" i="4"/>
  <c r="F133" i="3"/>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T9" i="4" s="1"/>
  <c r="U9" i="4" s="1"/>
  <c r="AT21" i="20"/>
  <c r="AM21" i="20"/>
  <c r="F79" i="3"/>
  <c r="I20" i="20"/>
  <c r="G21" i="20"/>
  <c r="O21" i="20"/>
  <c r="Q20" i="20"/>
  <c r="F67" i="3"/>
  <c r="H21" i="20"/>
  <c r="F81" i="3"/>
  <c r="M20" i="20"/>
  <c r="S21" i="20"/>
  <c r="T21" i="20"/>
  <c r="AX21" i="20"/>
  <c r="AP21" i="20"/>
  <c r="AR20" i="20"/>
  <c r="AQ20" i="20"/>
  <c r="U20" i="20"/>
  <c r="Q21" i="20"/>
  <c r="E21" i="20"/>
  <c r="J20" i="20"/>
  <c r="K21" i="20"/>
  <c r="E104" i="3"/>
  <c r="N12" i="4" s="1"/>
  <c r="E98" i="3"/>
  <c r="N6" i="4" s="1"/>
  <c r="V21" i="20"/>
  <c r="AO20" i="20"/>
  <c r="AN20" i="20"/>
  <c r="AS20" i="20"/>
  <c r="F104" i="3"/>
  <c r="AU20" i="20"/>
  <c r="AW20" i="20"/>
  <c r="AG20" i="20"/>
  <c r="F98" i="3"/>
  <c r="Y20" i="20"/>
  <c r="L21" i="20"/>
  <c r="AS21" i="20"/>
  <c r="Y21" i="20"/>
  <c r="E84" i="3"/>
  <c r="T12" i="4" s="1"/>
  <c r="U12" i="4" s="1"/>
  <c r="F80" i="3"/>
  <c r="I21" i="20"/>
  <c r="AK21" i="20"/>
  <c r="AV21" i="20"/>
  <c r="AG21" i="20"/>
  <c r="AI21" i="20"/>
  <c r="AQ21" i="20"/>
  <c r="U21" i="20"/>
  <c r="F68" i="3"/>
  <c r="K20" i="20"/>
  <c r="E77" i="3"/>
  <c r="T5" i="4" s="1"/>
  <c r="U5" i="4" s="1"/>
  <c r="F78" i="3"/>
  <c r="AK20" i="20"/>
  <c r="W21" i="20"/>
  <c r="H20" i="20"/>
  <c r="E80" i="3"/>
  <c r="T8" i="4" s="1"/>
  <c r="U8" i="4" s="1"/>
  <c r="F77" i="3"/>
  <c r="R20" i="20"/>
  <c r="AI20" i="20"/>
  <c r="F74" i="3"/>
  <c r="E85" i="3"/>
  <c r="T13" i="4" s="1"/>
  <c r="L84" i="3"/>
  <c r="F84" i="3" s="1"/>
  <c r="F69" i="3"/>
  <c r="E78" i="3"/>
  <c r="T6" i="4" s="1"/>
  <c r="U6" i="4" s="1"/>
  <c r="E79" i="3"/>
  <c r="T7" i="4" s="1"/>
  <c r="U7" i="4" s="1"/>
  <c r="E82" i="3"/>
  <c r="T10" i="4" s="1"/>
  <c r="U10" i="4" s="1"/>
  <c r="F126" i="3"/>
  <c r="F23" i="20"/>
  <c r="AH23" i="20"/>
  <c r="R4" i="4"/>
  <c r="Q14" i="4"/>
  <c r="K100" i="3"/>
  <c r="F70" i="3"/>
  <c r="K105" i="3"/>
  <c r="F75" i="3"/>
  <c r="K102" i="3"/>
  <c r="F72" i="3"/>
  <c r="K103" i="3"/>
  <c r="F73" i="3"/>
  <c r="F71" i="3"/>
  <c r="K101" i="3"/>
  <c r="L83" i="3"/>
  <c r="F83" i="3" s="1"/>
  <c r="E83" i="3"/>
  <c r="T11" i="4" s="1"/>
  <c r="U11" i="4" s="1"/>
  <c r="L97" i="3"/>
  <c r="F97" i="3" s="1"/>
  <c r="E97" i="3"/>
  <c r="N5" i="4" s="1"/>
  <c r="L76" i="3"/>
  <c r="E76" i="3"/>
  <c r="T4" i="4" s="1"/>
  <c r="K96" i="3"/>
  <c r="F66" i="3"/>
  <c r="BB99" i="3"/>
  <c r="E99" i="3"/>
  <c r="N7" i="4" s="1"/>
  <c r="K9" i="11" l="1"/>
  <c r="K38" i="11" s="1"/>
  <c r="H9" i="11"/>
  <c r="H38" i="11" s="1"/>
  <c r="G9" i="11"/>
  <c r="G38" i="11" s="1"/>
  <c r="M9" i="11"/>
  <c r="M38" i="11" s="1"/>
  <c r="J9" i="11"/>
  <c r="J38" i="11" s="1"/>
  <c r="L9" i="11"/>
  <c r="L38" i="11" s="1"/>
  <c r="O306" i="30"/>
  <c r="P306" i="30" s="1"/>
  <c r="O125" i="30"/>
  <c r="P125" i="30" s="1"/>
  <c r="O41" i="30"/>
  <c r="P41" i="30" s="1"/>
  <c r="O29" i="30"/>
  <c r="P29" i="30" s="1"/>
  <c r="O226" i="30"/>
  <c r="P226" i="30" s="1"/>
  <c r="O148" i="30"/>
  <c r="P148" i="30" s="1"/>
  <c r="O36" i="30"/>
  <c r="P36" i="30" s="1"/>
  <c r="O431" i="30"/>
  <c r="P431" i="30" s="1"/>
  <c r="O173" i="30"/>
  <c r="P173" i="30" s="1"/>
  <c r="O253" i="30"/>
  <c r="P253" i="30" s="1"/>
  <c r="O209" i="30"/>
  <c r="P209" i="30" s="1"/>
  <c r="O143" i="30"/>
  <c r="P143" i="30" s="1"/>
  <c r="O12" i="30"/>
  <c r="P12" i="30" s="1"/>
  <c r="O211" i="30"/>
  <c r="P211" i="30" s="1"/>
  <c r="O363" i="30"/>
  <c r="P363" i="30" s="1"/>
  <c r="O67" i="30"/>
  <c r="P67" i="30" s="1"/>
  <c r="O123" i="30"/>
  <c r="P123" i="30" s="1"/>
  <c r="O264" i="30"/>
  <c r="P264" i="30" s="1"/>
  <c r="O38" i="30"/>
  <c r="P38" i="30" s="1"/>
  <c r="O147" i="30"/>
  <c r="P147" i="30" s="1"/>
  <c r="O21" i="30"/>
  <c r="P21" i="30" s="1"/>
  <c r="O354" i="30"/>
  <c r="P354" i="30" s="1"/>
  <c r="O277" i="30"/>
  <c r="P277" i="30" s="1"/>
  <c r="O309" i="30"/>
  <c r="P309" i="30" s="1"/>
  <c r="O19" i="30"/>
  <c r="P19" i="30" s="1"/>
  <c r="O81" i="30"/>
  <c r="P81" i="30" s="1"/>
  <c r="O204" i="30"/>
  <c r="P204" i="30" s="1"/>
  <c r="O141" i="30"/>
  <c r="P141" i="30" s="1"/>
  <c r="O339" i="30"/>
  <c r="P339" i="30" s="1"/>
  <c r="O225" i="30"/>
  <c r="P225" i="30" s="1"/>
  <c r="O104" i="30"/>
  <c r="P104" i="30" s="1"/>
  <c r="O331" i="30"/>
  <c r="P331" i="30" s="1"/>
  <c r="O330" i="30"/>
  <c r="P330" i="30" s="1"/>
  <c r="O220" i="30"/>
  <c r="P220" i="30" s="1"/>
  <c r="O294" i="30"/>
  <c r="P294" i="30" s="1"/>
  <c r="O421" i="30"/>
  <c r="P421" i="30" s="1"/>
  <c r="O192" i="30"/>
  <c r="P192" i="30" s="1"/>
  <c r="O281" i="30"/>
  <c r="P281" i="30" s="1"/>
  <c r="O239" i="30"/>
  <c r="P239" i="30" s="1"/>
  <c r="O42" i="30"/>
  <c r="P42" i="30" s="1"/>
  <c r="O154" i="30"/>
  <c r="P154" i="30" s="1"/>
  <c r="O360" i="30"/>
  <c r="P360" i="30" s="1"/>
  <c r="Y14" i="4"/>
  <c r="O13" i="30"/>
  <c r="P13" i="30" s="1"/>
  <c r="O161" i="30"/>
  <c r="P161" i="30" s="1"/>
  <c r="O96" i="30"/>
  <c r="P96" i="30" s="1"/>
  <c r="O320" i="30"/>
  <c r="P320" i="30" s="1"/>
  <c r="O156" i="30"/>
  <c r="P156" i="30" s="1"/>
  <c r="O145" i="30"/>
  <c r="P145" i="30" s="1"/>
  <c r="O40" i="30"/>
  <c r="P40" i="30" s="1"/>
  <c r="O90" i="30"/>
  <c r="P90" i="30" s="1"/>
  <c r="O69" i="30"/>
  <c r="P69" i="30" s="1"/>
  <c r="O186" i="30"/>
  <c r="P186" i="30" s="1"/>
  <c r="O108" i="30"/>
  <c r="P108" i="30" s="1"/>
  <c r="O164" i="30"/>
  <c r="P164" i="30" s="1"/>
  <c r="O340" i="30"/>
  <c r="P340" i="30" s="1"/>
  <c r="O22" i="30"/>
  <c r="P22" i="30" s="1"/>
  <c r="O325" i="30"/>
  <c r="P325" i="30" s="1"/>
  <c r="O58" i="30"/>
  <c r="P58" i="30" s="1"/>
  <c r="O310" i="30"/>
  <c r="P310" i="30" s="1"/>
  <c r="O158" i="30"/>
  <c r="P158" i="30" s="1"/>
  <c r="O289" i="30"/>
  <c r="P289" i="30" s="1"/>
  <c r="O234" i="30"/>
  <c r="P234" i="30" s="1"/>
  <c r="O252" i="30"/>
  <c r="P252" i="30" s="1"/>
  <c r="O366" i="30"/>
  <c r="P366" i="30" s="1"/>
  <c r="O238" i="30"/>
  <c r="P238" i="30" s="1"/>
  <c r="O369" i="30"/>
  <c r="P369" i="30" s="1"/>
  <c r="O128" i="30"/>
  <c r="P128" i="30" s="1"/>
  <c r="O24" i="30"/>
  <c r="P24" i="30" s="1"/>
  <c r="O47" i="30"/>
  <c r="P47" i="30" s="1"/>
  <c r="O43" i="30"/>
  <c r="P43" i="30" s="1"/>
  <c r="O206" i="30"/>
  <c r="P206" i="30" s="1"/>
  <c r="O345" i="30"/>
  <c r="P345" i="30" s="1"/>
  <c r="O270" i="30"/>
  <c r="P270" i="30" s="1"/>
  <c r="O48" i="30"/>
  <c r="P48" i="30" s="1"/>
  <c r="O318" i="30"/>
  <c r="P318" i="30" s="1"/>
  <c r="O255" i="30"/>
  <c r="P255" i="30" s="1"/>
  <c r="O166" i="30"/>
  <c r="P166" i="30" s="1"/>
  <c r="O351" i="30"/>
  <c r="P351" i="30" s="1"/>
  <c r="O407" i="30"/>
  <c r="P407" i="30" s="1"/>
  <c r="O342" i="30"/>
  <c r="P342" i="30" s="1"/>
  <c r="O422" i="30"/>
  <c r="P422" i="30" s="1"/>
  <c r="O179" i="30"/>
  <c r="P179" i="30" s="1"/>
  <c r="O167" i="30"/>
  <c r="P167" i="30" s="1"/>
  <c r="O260" i="30"/>
  <c r="P260" i="30" s="1"/>
  <c r="O323" i="30"/>
  <c r="P323" i="30" s="1"/>
  <c r="O223" i="30"/>
  <c r="P223" i="30" s="1"/>
  <c r="O413" i="30"/>
  <c r="P413" i="30" s="1"/>
  <c r="O418" i="30"/>
  <c r="P418" i="30" s="1"/>
  <c r="O202" i="30"/>
  <c r="P202" i="30" s="1"/>
  <c r="O348" i="30"/>
  <c r="P348" i="30" s="1"/>
  <c r="O73" i="30"/>
  <c r="P73" i="30" s="1"/>
  <c r="O302" i="30"/>
  <c r="P302" i="30" s="1"/>
  <c r="O189" i="30"/>
  <c r="P189" i="30" s="1"/>
  <c r="O142" i="30"/>
  <c r="P142" i="30" s="1"/>
  <c r="O109" i="30"/>
  <c r="P109" i="30" s="1"/>
  <c r="O197" i="30"/>
  <c r="P197" i="30" s="1"/>
  <c r="O78" i="30"/>
  <c r="P78" i="30" s="1"/>
  <c r="O101" i="30"/>
  <c r="P101" i="30" s="1"/>
  <c r="O276" i="30"/>
  <c r="P276" i="30" s="1"/>
  <c r="O256" i="30"/>
  <c r="P256" i="30" s="1"/>
  <c r="O33" i="30"/>
  <c r="P33" i="30" s="1"/>
  <c r="O293" i="30"/>
  <c r="P293" i="30" s="1"/>
  <c r="O403" i="30"/>
  <c r="P403" i="30" s="1"/>
  <c r="O218" i="30"/>
  <c r="P218" i="30" s="1"/>
  <c r="O384" i="30"/>
  <c r="P384" i="30" s="1"/>
  <c r="O305" i="30"/>
  <c r="P305" i="30" s="1"/>
  <c r="O205" i="30"/>
  <c r="P205" i="30" s="1"/>
  <c r="O346" i="30"/>
  <c r="P346" i="30" s="1"/>
  <c r="O326" i="30"/>
  <c r="P326" i="30" s="1"/>
  <c r="O415" i="30"/>
  <c r="P415" i="30" s="1"/>
  <c r="O247" i="30"/>
  <c r="P247" i="30" s="1"/>
  <c r="O45" i="30"/>
  <c r="P45" i="30" s="1"/>
  <c r="O95" i="30"/>
  <c r="P95" i="30" s="1"/>
  <c r="O184" i="30"/>
  <c r="P184" i="30" s="1"/>
  <c r="O343" i="30"/>
  <c r="P343" i="30" s="1"/>
  <c r="O134" i="30"/>
  <c r="P134" i="30" s="1"/>
  <c r="O46" i="30"/>
  <c r="P46" i="30" s="1"/>
  <c r="O99" i="30"/>
  <c r="P99" i="30" s="1"/>
  <c r="O298" i="30"/>
  <c r="P298" i="30" s="1"/>
  <c r="O23" i="30"/>
  <c r="P23" i="30" s="1"/>
  <c r="O275" i="30"/>
  <c r="P275" i="30" s="1"/>
  <c r="O262" i="30"/>
  <c r="P262" i="30" s="1"/>
  <c r="O84" i="30"/>
  <c r="P84" i="30" s="1"/>
  <c r="O82" i="30"/>
  <c r="P82" i="30" s="1"/>
  <c r="O150" i="30"/>
  <c r="P150" i="30" s="1"/>
  <c r="O370" i="30"/>
  <c r="P370" i="30" s="1"/>
  <c r="O112" i="30"/>
  <c r="P112" i="30" s="1"/>
  <c r="O53" i="30"/>
  <c r="P53" i="30" s="1"/>
  <c r="O193" i="30"/>
  <c r="P193" i="30" s="1"/>
  <c r="O429" i="30"/>
  <c r="P429" i="30" s="1"/>
  <c r="O268" i="30"/>
  <c r="P268" i="30" s="1"/>
  <c r="O39" i="30"/>
  <c r="P39" i="30" s="1"/>
  <c r="O417" i="30"/>
  <c r="P417" i="30" s="1"/>
  <c r="O378" i="30"/>
  <c r="P378" i="30" s="1"/>
  <c r="O375" i="30"/>
  <c r="P375" i="30" s="1"/>
  <c r="O381" i="30"/>
  <c r="P381" i="30" s="1"/>
  <c r="O117" i="30"/>
  <c r="P117" i="30" s="1"/>
  <c r="O127" i="30"/>
  <c r="P127" i="30" s="1"/>
  <c r="O15" i="30"/>
  <c r="P15" i="30" s="1"/>
  <c r="O190" i="30"/>
  <c r="P190" i="30" s="1"/>
  <c r="O376" i="30"/>
  <c r="P376" i="30" s="1"/>
  <c r="O98" i="30"/>
  <c r="P98" i="30" s="1"/>
  <c r="O121" i="30"/>
  <c r="P121" i="30" s="1"/>
  <c r="O17" i="30"/>
  <c r="P17" i="30" s="1"/>
  <c r="O30" i="30"/>
  <c r="P30" i="30" s="1"/>
  <c r="O269" i="30"/>
  <c r="P269" i="30" s="1"/>
  <c r="O319" i="30"/>
  <c r="P319" i="30" s="1"/>
  <c r="O214" i="30"/>
  <c r="P214" i="30" s="1"/>
  <c r="O373" i="30"/>
  <c r="P373" i="30" s="1"/>
  <c r="O50" i="30"/>
  <c r="P50" i="30" s="1"/>
  <c r="O273" i="30"/>
  <c r="P273" i="30" s="1"/>
  <c r="O137" i="30"/>
  <c r="P137" i="30" s="1"/>
  <c r="O115" i="30"/>
  <c r="P115" i="30" s="1"/>
  <c r="O51" i="30"/>
  <c r="P51" i="30" s="1"/>
  <c r="O185" i="30"/>
  <c r="P185" i="30" s="1"/>
  <c r="O44" i="30"/>
  <c r="P44" i="30" s="1"/>
  <c r="O71" i="30"/>
  <c r="P71" i="30" s="1"/>
  <c r="O327" i="30"/>
  <c r="P327" i="30" s="1"/>
  <c r="O227" i="30"/>
  <c r="P227" i="30" s="1"/>
  <c r="O74" i="30"/>
  <c r="P74" i="30" s="1"/>
  <c r="O261" i="30"/>
  <c r="P261" i="30" s="1"/>
  <c r="O126" i="30"/>
  <c r="P126" i="30" s="1"/>
  <c r="O191" i="30"/>
  <c r="P191" i="30" s="1"/>
  <c r="O231" i="30"/>
  <c r="P231" i="30" s="1"/>
  <c r="O153" i="30"/>
  <c r="P153" i="30" s="1"/>
  <c r="O155" i="30"/>
  <c r="P155" i="30" s="1"/>
  <c r="O365" i="30"/>
  <c r="P365" i="30" s="1"/>
  <c r="O97" i="30"/>
  <c r="P97" i="30" s="1"/>
  <c r="O60" i="30"/>
  <c r="P60" i="30" s="1"/>
  <c r="O92" i="30"/>
  <c r="P92" i="30" s="1"/>
  <c r="O55" i="30"/>
  <c r="P55" i="30" s="1"/>
  <c r="O292" i="30"/>
  <c r="P292" i="30" s="1"/>
  <c r="O324" i="30"/>
  <c r="P324" i="30" s="1"/>
  <c r="O337" i="30"/>
  <c r="P337" i="30" s="1"/>
  <c r="O237" i="30"/>
  <c r="P237" i="30" s="1"/>
  <c r="O232" i="30"/>
  <c r="P232" i="30" s="1"/>
  <c r="O371" i="30"/>
  <c r="P371" i="30" s="1"/>
  <c r="O88" i="30"/>
  <c r="P88" i="30" s="1"/>
  <c r="O111" i="30"/>
  <c r="P111" i="30" s="1"/>
  <c r="O87" i="30"/>
  <c r="P87" i="30" s="1"/>
  <c r="O419" i="30"/>
  <c r="P419" i="30" s="1"/>
  <c r="O219" i="30"/>
  <c r="P219" i="30" s="1"/>
  <c r="O259" i="30"/>
  <c r="P259" i="30" s="1"/>
  <c r="O174" i="30"/>
  <c r="P174" i="30" s="1"/>
  <c r="O380" i="30"/>
  <c r="P380" i="30" s="1"/>
  <c r="O241" i="30"/>
  <c r="P241" i="30" s="1"/>
  <c r="O362" i="30"/>
  <c r="P362" i="30" s="1"/>
  <c r="O103" i="30"/>
  <c r="P103" i="30" s="1"/>
  <c r="O314" i="30"/>
  <c r="P314" i="30" s="1"/>
  <c r="O303" i="30"/>
  <c r="P303" i="30" s="1"/>
  <c r="O203" i="30"/>
  <c r="P203" i="30" s="1"/>
  <c r="O243" i="30"/>
  <c r="P243" i="30" s="1"/>
  <c r="O159" i="30"/>
  <c r="P159" i="30" s="1"/>
  <c r="O198" i="30"/>
  <c r="P198" i="30" s="1"/>
  <c r="O364" i="30"/>
  <c r="P364" i="30" s="1"/>
  <c r="O295" i="30"/>
  <c r="P295" i="30" s="1"/>
  <c r="O93" i="30"/>
  <c r="P93" i="30" s="1"/>
  <c r="O120" i="30"/>
  <c r="P120" i="30" s="1"/>
  <c r="O16" i="30"/>
  <c r="P16" i="30" s="1"/>
  <c r="O322" i="30"/>
  <c r="P322" i="30" s="1"/>
  <c r="O149" i="30"/>
  <c r="P149" i="30" s="1"/>
  <c r="O180" i="30"/>
  <c r="P180" i="30" s="1"/>
  <c r="O359" i="30"/>
  <c r="P359" i="30" s="1"/>
  <c r="J5" i="32"/>
  <c r="O94" i="30"/>
  <c r="P94" i="30" s="1"/>
  <c r="O59" i="30"/>
  <c r="P59" i="30" s="1"/>
  <c r="O282" i="30"/>
  <c r="P282" i="30" s="1"/>
  <c r="O222" i="30"/>
  <c r="P222" i="30" s="1"/>
  <c r="O368" i="30"/>
  <c r="P368" i="30" s="1"/>
  <c r="O248" i="30"/>
  <c r="P248" i="30" s="1"/>
  <c r="O367" i="30"/>
  <c r="P367" i="30" s="1"/>
  <c r="O65" i="30"/>
  <c r="P65" i="30" s="1"/>
  <c r="O335" i="30"/>
  <c r="P335" i="30" s="1"/>
  <c r="O235" i="30"/>
  <c r="P235" i="30" s="1"/>
  <c r="O287" i="30"/>
  <c r="P287" i="30" s="1"/>
  <c r="O177" i="30"/>
  <c r="P177" i="30" s="1"/>
  <c r="O236" i="30"/>
  <c r="P236" i="30" s="1"/>
  <c r="O280" i="30"/>
  <c r="P280" i="30" s="1"/>
  <c r="O122" i="30"/>
  <c r="P122" i="30" s="1"/>
  <c r="O263" i="30"/>
  <c r="P263" i="30" s="1"/>
  <c r="O75" i="30"/>
  <c r="P75" i="30" s="1"/>
  <c r="O188" i="30"/>
  <c r="P188" i="30" s="1"/>
  <c r="O131" i="30"/>
  <c r="P131" i="30" s="1"/>
  <c r="O27" i="30"/>
  <c r="P27" i="30" s="1"/>
  <c r="O70" i="30"/>
  <c r="P70" i="30" s="1"/>
  <c r="O290" i="30"/>
  <c r="P290" i="30" s="1"/>
  <c r="O338" i="30"/>
  <c r="P338" i="30" s="1"/>
  <c r="O175" i="30"/>
  <c r="P175" i="30" s="1"/>
  <c r="O230" i="30"/>
  <c r="P230" i="30" s="1"/>
  <c r="O317" i="30"/>
  <c r="P317" i="30" s="1"/>
  <c r="O217" i="30"/>
  <c r="P217" i="30" s="1"/>
  <c r="O172" i="30"/>
  <c r="P172" i="30" s="1"/>
  <c r="O254" i="30"/>
  <c r="P254" i="30" s="1"/>
  <c r="O20" i="30"/>
  <c r="P20" i="30" s="1"/>
  <c r="O76" i="30"/>
  <c r="P76" i="30" s="1"/>
  <c r="O296" i="30"/>
  <c r="P296" i="30" s="1"/>
  <c r="O301" i="30"/>
  <c r="P301" i="30" s="1"/>
  <c r="O181" i="30"/>
  <c r="P181" i="30" s="1"/>
  <c r="O169" i="30"/>
  <c r="P169" i="30" s="1"/>
  <c r="O176" i="30"/>
  <c r="P176" i="30" s="1"/>
  <c r="O49" i="30"/>
  <c r="P49" i="30" s="1"/>
  <c r="O32" i="30"/>
  <c r="P32" i="30" s="1"/>
  <c r="O307" i="30"/>
  <c r="P307" i="30" s="1"/>
  <c r="O168" i="30"/>
  <c r="P168" i="30" s="1"/>
  <c r="O207" i="30"/>
  <c r="P207" i="30" s="1"/>
  <c r="O361" i="30"/>
  <c r="P361" i="30" s="1"/>
  <c r="O77" i="30"/>
  <c r="P77" i="30" s="1"/>
  <c r="O299" i="30"/>
  <c r="P299" i="30" s="1"/>
  <c r="O136" i="30"/>
  <c r="P136" i="30" s="1"/>
  <c r="O249" i="30"/>
  <c r="P249" i="30" s="1"/>
  <c r="O163" i="30"/>
  <c r="P163" i="30" s="1"/>
  <c r="O165" i="30"/>
  <c r="P165" i="30" s="1"/>
  <c r="O244" i="30"/>
  <c r="P244" i="30" s="1"/>
  <c r="O350" i="30"/>
  <c r="P350" i="30" s="1"/>
  <c r="O63" i="30"/>
  <c r="P63" i="30" s="1"/>
  <c r="O35" i="30"/>
  <c r="P35" i="30" s="1"/>
  <c r="O85" i="30"/>
  <c r="P85" i="30" s="1"/>
  <c r="O286" i="30"/>
  <c r="P286" i="30" s="1"/>
  <c r="O171" i="30"/>
  <c r="P171" i="30" s="1"/>
  <c r="O352" i="30"/>
  <c r="P352" i="30" s="1"/>
  <c r="O118" i="30"/>
  <c r="P118" i="30" s="1"/>
  <c r="O14" i="30"/>
  <c r="P14" i="30" s="1"/>
  <c r="O37" i="30"/>
  <c r="P37" i="30" s="1"/>
  <c r="O80" i="30"/>
  <c r="P80" i="30" s="1"/>
  <c r="O25" i="30"/>
  <c r="P25" i="30" s="1"/>
  <c r="O336" i="30"/>
  <c r="P336" i="30" s="1"/>
  <c r="O312" i="30"/>
  <c r="P312" i="30" s="1"/>
  <c r="O333" i="30"/>
  <c r="P333" i="30" s="1"/>
  <c r="O233" i="30"/>
  <c r="P233" i="30" s="1"/>
  <c r="O228" i="30"/>
  <c r="P228" i="30" s="1"/>
  <c r="O347" i="30"/>
  <c r="P347" i="30" s="1"/>
  <c r="O285" i="30"/>
  <c r="P285" i="30" s="1"/>
  <c r="O315" i="30"/>
  <c r="P315" i="30" s="1"/>
  <c r="O151" i="30"/>
  <c r="P151" i="30" s="1"/>
  <c r="O215" i="30"/>
  <c r="P215" i="30" s="1"/>
  <c r="O170" i="30"/>
  <c r="P170" i="30" s="1"/>
  <c r="O356" i="30"/>
  <c r="P356" i="30" s="1"/>
  <c r="O349" i="30"/>
  <c r="P349" i="30" s="1"/>
  <c r="J3" i="32"/>
  <c r="O267" i="30"/>
  <c r="P267" i="30" s="1"/>
  <c r="O272" i="30"/>
  <c r="P272" i="30" s="1"/>
  <c r="O257" i="30"/>
  <c r="P257" i="30" s="1"/>
  <c r="O212" i="30"/>
  <c r="P212" i="30" s="1"/>
  <c r="O428" i="30"/>
  <c r="P428" i="30" s="1"/>
  <c r="O358" i="30"/>
  <c r="P358" i="30" s="1"/>
  <c r="O86" i="30"/>
  <c r="P86" i="30" s="1"/>
  <c r="O28" i="30"/>
  <c r="P28" i="30" s="1"/>
  <c r="O304" i="30"/>
  <c r="P304" i="30" s="1"/>
  <c r="O328" i="30"/>
  <c r="P328" i="30" s="1"/>
  <c r="O404" i="30"/>
  <c r="P404" i="30" s="1"/>
  <c r="O199" i="30"/>
  <c r="P199" i="30" s="1"/>
  <c r="O146" i="30"/>
  <c r="P146" i="30" s="1"/>
  <c r="O194" i="30"/>
  <c r="P194" i="30" s="1"/>
  <c r="O353" i="30"/>
  <c r="P353" i="30" s="1"/>
  <c r="O124" i="30"/>
  <c r="P124" i="30" s="1"/>
  <c r="O291" i="30"/>
  <c r="P291" i="30" s="1"/>
  <c r="O113" i="30"/>
  <c r="P113" i="30" s="1"/>
  <c r="O89" i="30"/>
  <c r="P89" i="30" s="1"/>
  <c r="O135" i="30"/>
  <c r="P135" i="30" s="1"/>
  <c r="O31" i="30"/>
  <c r="P31" i="30" s="1"/>
  <c r="O221" i="30"/>
  <c r="P221" i="30" s="1"/>
  <c r="O216" i="30"/>
  <c r="P216" i="30" s="1"/>
  <c r="O355" i="30"/>
  <c r="P355" i="30" s="1"/>
  <c r="O68" i="30"/>
  <c r="P68" i="30" s="1"/>
  <c r="O91" i="30"/>
  <c r="P91" i="30" s="1"/>
  <c r="O114" i="30"/>
  <c r="P114" i="30" s="1"/>
  <c r="O130" i="30"/>
  <c r="P130" i="30" s="1"/>
  <c r="O26" i="30"/>
  <c r="P26" i="30" s="1"/>
  <c r="O79" i="30"/>
  <c r="P79" i="30" s="1"/>
  <c r="O144" i="30"/>
  <c r="P144" i="30" s="1"/>
  <c r="O183" i="30"/>
  <c r="P183" i="30" s="1"/>
  <c r="O178" i="30"/>
  <c r="P178" i="30" s="1"/>
  <c r="O344" i="30"/>
  <c r="P344" i="30" s="1"/>
  <c r="O57" i="30"/>
  <c r="P57" i="30" s="1"/>
  <c r="O271" i="30"/>
  <c r="P271" i="30" s="1"/>
  <c r="O308" i="30"/>
  <c r="P308" i="30" s="1"/>
  <c r="O321" i="30"/>
  <c r="P321" i="30" s="1"/>
  <c r="O414" i="30"/>
  <c r="P414" i="30" s="1"/>
  <c r="O201" i="30"/>
  <c r="P201" i="30" s="1"/>
  <c r="O152" i="30"/>
  <c r="P152" i="30" s="1"/>
  <c r="O196" i="30"/>
  <c r="P196" i="30" s="1"/>
  <c r="O382" i="30"/>
  <c r="P382" i="30" s="1"/>
  <c r="O316" i="30"/>
  <c r="P316" i="30" s="1"/>
  <c r="O416" i="30"/>
  <c r="P416" i="30" s="1"/>
  <c r="O258" i="30"/>
  <c r="P258" i="30" s="1"/>
  <c r="O377" i="30"/>
  <c r="P377" i="30" s="1"/>
  <c r="O56" i="30"/>
  <c r="P56" i="30" s="1"/>
  <c r="O406" i="30"/>
  <c r="P406" i="30" s="1"/>
  <c r="O245" i="30"/>
  <c r="P245" i="30" s="1"/>
  <c r="O200" i="30"/>
  <c r="P200" i="30" s="1"/>
  <c r="O388" i="30"/>
  <c r="P388" i="30" s="1"/>
  <c r="O379" i="30"/>
  <c r="P379" i="30" s="1"/>
  <c r="O297" i="30"/>
  <c r="P297" i="30" s="1"/>
  <c r="O83" i="30"/>
  <c r="P83" i="30" s="1"/>
  <c r="O105" i="30"/>
  <c r="P105" i="30" s="1"/>
  <c r="O102" i="30"/>
  <c r="P102" i="30" s="1"/>
  <c r="O157" i="30"/>
  <c r="P157" i="30" s="1"/>
  <c r="O187" i="30"/>
  <c r="P187" i="30" s="1"/>
  <c r="O140" i="30"/>
  <c r="P140" i="30" s="1"/>
  <c r="O139" i="30"/>
  <c r="P139" i="30" s="1"/>
  <c r="O242" i="30"/>
  <c r="P242" i="30" s="1"/>
  <c r="O162" i="30"/>
  <c r="P162" i="30" s="1"/>
  <c r="O341" i="30"/>
  <c r="P341" i="30" s="1"/>
  <c r="O138" i="30"/>
  <c r="P138" i="30" s="1"/>
  <c r="O34" i="30"/>
  <c r="P34" i="30" s="1"/>
  <c r="O61" i="30"/>
  <c r="P61" i="30" s="1"/>
  <c r="O133" i="30"/>
  <c r="P133" i="30" s="1"/>
  <c r="O279" i="30"/>
  <c r="P279" i="30" s="1"/>
  <c r="O100" i="30"/>
  <c r="P100" i="30" s="1"/>
  <c r="O284" i="30"/>
  <c r="P284" i="30" s="1"/>
  <c r="O329" i="30"/>
  <c r="P329" i="30" s="1"/>
  <c r="O420" i="30"/>
  <c r="P420" i="30" s="1"/>
  <c r="O229" i="30"/>
  <c r="P229" i="30" s="1"/>
  <c r="O224" i="30"/>
  <c r="P224" i="30" s="1"/>
  <c r="O383" i="30"/>
  <c r="P383" i="30" s="1"/>
  <c r="O266" i="30"/>
  <c r="P266" i="30" s="1"/>
  <c r="O334" i="30"/>
  <c r="P334" i="30" s="1"/>
  <c r="O251" i="30"/>
  <c r="P251" i="30" s="1"/>
  <c r="O246" i="30"/>
  <c r="P246" i="30" s="1"/>
  <c r="O385" i="30"/>
  <c r="P385" i="30" s="1"/>
  <c r="O64" i="30"/>
  <c r="P64" i="30" s="1"/>
  <c r="O283" i="30"/>
  <c r="P283" i="30" s="1"/>
  <c r="O129" i="30"/>
  <c r="P129" i="30" s="1"/>
  <c r="O288" i="30"/>
  <c r="P288" i="30" s="1"/>
  <c r="O313" i="30"/>
  <c r="P313" i="30" s="1"/>
  <c r="O213" i="30"/>
  <c r="P213" i="30" s="1"/>
  <c r="O208" i="30"/>
  <c r="P208" i="30" s="1"/>
  <c r="O374" i="30"/>
  <c r="P374" i="30" s="1"/>
  <c r="O54" i="30"/>
  <c r="P54" i="30" s="1"/>
  <c r="O265" i="30"/>
  <c r="P265" i="30" s="1"/>
  <c r="O106" i="30"/>
  <c r="P106" i="30" s="1"/>
  <c r="O119" i="30"/>
  <c r="P119" i="30" s="1"/>
  <c r="O195" i="30"/>
  <c r="P195" i="30" s="1"/>
  <c r="O250" i="30"/>
  <c r="P250" i="30" s="1"/>
  <c r="O274" i="30"/>
  <c r="P274" i="30" s="1"/>
  <c r="O18" i="30"/>
  <c r="P18" i="30" s="1"/>
  <c r="O66" i="30"/>
  <c r="P66" i="30" s="1"/>
  <c r="O278" i="30"/>
  <c r="P278" i="30" s="1"/>
  <c r="O240" i="30"/>
  <c r="P240" i="30" s="1"/>
  <c r="O107" i="30"/>
  <c r="P107" i="30" s="1"/>
  <c r="O110" i="30"/>
  <c r="P110" i="30" s="1"/>
  <c r="O332" i="30"/>
  <c r="P332" i="30" s="1"/>
  <c r="O182" i="30"/>
  <c r="P182" i="30" s="1"/>
  <c r="O132" i="30"/>
  <c r="P132" i="30" s="1"/>
  <c r="O52" i="30"/>
  <c r="P52" i="30" s="1"/>
  <c r="O72" i="30"/>
  <c r="P72" i="30" s="1"/>
  <c r="O311" i="30"/>
  <c r="P311" i="30" s="1"/>
  <c r="O372" i="30"/>
  <c r="P372" i="30" s="1"/>
  <c r="O116" i="30"/>
  <c r="P116" i="30" s="1"/>
  <c r="O62" i="30"/>
  <c r="P62" i="30" s="1"/>
  <c r="J4" i="32"/>
  <c r="AT5" i="20"/>
  <c r="T5" i="20"/>
  <c r="AV9" i="20"/>
  <c r="D8" i="11"/>
  <c r="D37" i="11" s="1"/>
  <c r="T9" i="20"/>
  <c r="S5" i="20"/>
  <c r="T77" i="9"/>
  <c r="Q5" i="20"/>
  <c r="AV5" i="20"/>
  <c r="U77" i="9"/>
  <c r="R77" i="9"/>
  <c r="S77" i="9"/>
  <c r="AU5" i="20"/>
  <c r="P5" i="20"/>
  <c r="AR5" i="20"/>
  <c r="S9" i="20"/>
  <c r="AS5" i="20"/>
  <c r="AR9" i="20"/>
  <c r="R5" i="20"/>
  <c r="AT9" i="20"/>
  <c r="P9" i="20"/>
  <c r="R9" i="20"/>
  <c r="Q77" i="9"/>
  <c r="AU9" i="20"/>
  <c r="Q9" i="20"/>
  <c r="AS9" i="20"/>
  <c r="E8" i="11"/>
  <c r="E37" i="11" s="1"/>
  <c r="L8" i="11"/>
  <c r="L37" i="11" s="1"/>
  <c r="D12" i="20"/>
  <c r="J8" i="11"/>
  <c r="B14" i="2"/>
  <c r="E14" i="2"/>
  <c r="G8" i="11"/>
  <c r="G37" i="11" s="1"/>
  <c r="M8" i="11"/>
  <c r="M37" i="11" s="1"/>
  <c r="D7" i="20"/>
  <c r="T14" i="6"/>
  <c r="T15" i="6"/>
  <c r="I8" i="11"/>
  <c r="I37" i="11" s="1"/>
  <c r="D11" i="6"/>
  <c r="E11" i="6" s="1"/>
  <c r="AF7" i="20"/>
  <c r="K8" i="11"/>
  <c r="G11" i="6" s="1"/>
  <c r="H11" i="6"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Z12" i="4"/>
  <c r="U13" i="4"/>
  <c r="O12" i="4"/>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R15" i="4"/>
  <c r="R14" i="4"/>
  <c r="L101" i="3"/>
  <c r="F101" i="3" s="1"/>
  <c r="E101" i="3"/>
  <c r="N9" i="4" s="1"/>
  <c r="Z9" i="4" s="1"/>
  <c r="L103" i="3"/>
  <c r="F103" i="3" s="1"/>
  <c r="E103" i="3"/>
  <c r="N11" i="4" s="1"/>
  <c r="Z11" i="4" s="1"/>
  <c r="L102" i="3"/>
  <c r="F102" i="3" s="1"/>
  <c r="E102" i="3"/>
  <c r="N10" i="4" s="1"/>
  <c r="Z10" i="4" s="1"/>
  <c r="L105" i="3"/>
  <c r="F105" i="3" s="1"/>
  <c r="E105" i="3"/>
  <c r="N13" i="4" s="1"/>
  <c r="Z13" i="4" s="1"/>
  <c r="L100" i="3"/>
  <c r="F100" i="3" s="1"/>
  <c r="E100" i="3"/>
  <c r="N8" i="4" s="1"/>
  <c r="Z8" i="4" s="1"/>
  <c r="L96" i="3"/>
  <c r="E96" i="3"/>
  <c r="N4" i="4" s="1"/>
  <c r="Z4" i="4" s="1"/>
  <c r="T14" i="4"/>
  <c r="U4" i="4"/>
  <c r="O7" i="4"/>
  <c r="F99" i="3"/>
  <c r="T20" i="20"/>
  <c r="T19" i="20" s="1"/>
  <c r="T15" i="20" s="1"/>
  <c r="AV20" i="20"/>
  <c r="AV19" i="20" s="1"/>
  <c r="AV15" i="20" s="1"/>
  <c r="F21" i="20"/>
  <c r="D21" i="20" s="1"/>
  <c r="F76" i="3"/>
  <c r="AH21" i="20"/>
  <c r="AF21" i="20" s="1"/>
  <c r="O5" i="4"/>
  <c r="AA6" i="4" l="1"/>
  <c r="J7" i="32"/>
  <c r="J11" i="32"/>
  <c r="J8" i="32"/>
  <c r="J10" i="32"/>
  <c r="J9" i="32"/>
  <c r="J12" i="32"/>
  <c r="J6" i="32"/>
  <c r="G4" i="6"/>
  <c r="H4" i="6" s="1"/>
  <c r="G5" i="6"/>
  <c r="H5" i="6" s="1"/>
  <c r="G9" i="6"/>
  <c r="H9" i="6" s="1"/>
  <c r="G7" i="6"/>
  <c r="H7" i="6" s="1"/>
  <c r="G12" i="6"/>
  <c r="H12" i="6" s="1"/>
  <c r="K37" i="11"/>
  <c r="G13" i="6"/>
  <c r="H13" i="6" s="1"/>
  <c r="G10" i="6"/>
  <c r="H10" i="6" s="1"/>
  <c r="J37" i="11"/>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F96" i="3"/>
  <c r="AA7" i="4"/>
  <c r="U15" i="4"/>
  <c r="U14" i="4"/>
  <c r="N14" i="4"/>
  <c r="O4" i="4"/>
  <c r="F27" i="26" l="1"/>
  <c r="I27" i="26" s="1"/>
  <c r="F3" i="26"/>
  <c r="F61" i="26"/>
  <c r="I61" i="26" s="1"/>
  <c r="F22" i="26"/>
  <c r="I22" i="26" s="1"/>
  <c r="F15" i="26"/>
  <c r="I15" i="26" s="1"/>
  <c r="F50" i="26"/>
  <c r="I50" i="26" s="1"/>
  <c r="F35" i="26"/>
  <c r="I35" i="26" s="1"/>
  <c r="F60" i="26"/>
  <c r="I60" i="26" s="1"/>
  <c r="F17" i="26"/>
  <c r="I17" i="26" s="1"/>
  <c r="F62" i="26"/>
  <c r="I62" i="26" s="1"/>
  <c r="D16" i="29"/>
  <c r="K18" i="29" s="1"/>
  <c r="M18" i="29" s="1"/>
  <c r="F56" i="26"/>
  <c r="I56" i="26" s="1"/>
  <c r="F40" i="26"/>
  <c r="I40" i="26" s="1"/>
  <c r="F32" i="26"/>
  <c r="I32" i="26" s="1"/>
  <c r="F6" i="26"/>
  <c r="I6" i="26" s="1"/>
  <c r="G57" i="9" s="1"/>
  <c r="F30" i="26"/>
  <c r="I30" i="26" s="1"/>
  <c r="F59" i="26"/>
  <c r="I59" i="26" s="1"/>
  <c r="F13" i="26"/>
  <c r="I13" i="26" s="1"/>
  <c r="F57" i="26"/>
  <c r="I57" i="26" s="1"/>
  <c r="F65" i="26"/>
  <c r="I65" i="26" s="1"/>
  <c r="F46" i="26"/>
  <c r="I46" i="26" s="1"/>
  <c r="F55" i="26"/>
  <c r="I55" i="26" s="1"/>
  <c r="F53" i="26"/>
  <c r="I53" i="26" s="1"/>
  <c r="F20" i="26"/>
  <c r="I20" i="26" s="1"/>
  <c r="F41" i="26"/>
  <c r="I41" i="26" s="1"/>
  <c r="D28" i="29"/>
  <c r="K38" i="29" s="1"/>
  <c r="M38" i="29" s="1"/>
  <c r="F34" i="26"/>
  <c r="I34" i="26" s="1"/>
  <c r="F58" i="26"/>
  <c r="I58" i="26" s="1"/>
  <c r="F54" i="26"/>
  <c r="I54" i="26" s="1"/>
  <c r="F14" i="26"/>
  <c r="I14" i="26" s="1"/>
  <c r="F63" i="26"/>
  <c r="I63" i="26" s="1"/>
  <c r="J1" i="32"/>
  <c r="F48" i="26"/>
  <c r="I48" i="26" s="1"/>
  <c r="F52" i="26"/>
  <c r="I52" i="26" s="1"/>
  <c r="F36" i="26"/>
  <c r="I36" i="26" s="1"/>
  <c r="F43" i="26"/>
  <c r="I43" i="26" s="1"/>
  <c r="F39" i="26"/>
  <c r="I39" i="26" s="1"/>
  <c r="F12" i="26"/>
  <c r="I12" i="26" s="1"/>
  <c r="F37" i="26"/>
  <c r="I37" i="26" s="1"/>
  <c r="F19" i="26"/>
  <c r="I19" i="26" s="1"/>
  <c r="F11" i="26"/>
  <c r="I11" i="26" s="1"/>
  <c r="F29" i="26"/>
  <c r="I29" i="26" s="1"/>
  <c r="F49" i="26"/>
  <c r="I49" i="26" s="1"/>
  <c r="F21" i="26"/>
  <c r="I21" i="26" s="1"/>
  <c r="F25" i="26"/>
  <c r="I25" i="26" s="1"/>
  <c r="F23" i="26"/>
  <c r="I23" i="26" s="1"/>
  <c r="F31" i="26"/>
  <c r="I31" i="26" s="1"/>
  <c r="F16" i="26"/>
  <c r="I16" i="26" s="1"/>
  <c r="F42" i="26"/>
  <c r="I42" i="26" s="1"/>
  <c r="F33" i="26"/>
  <c r="I33" i="26" s="1"/>
  <c r="F28" i="26"/>
  <c r="I28" i="26" s="1"/>
  <c r="F64" i="26"/>
  <c r="I64" i="26" s="1"/>
  <c r="F45" i="26"/>
  <c r="I45" i="26" s="1"/>
  <c r="F9" i="26"/>
  <c r="I9" i="26" s="1"/>
  <c r="D4" i="29"/>
  <c r="K4" i="29" s="1"/>
  <c r="F47" i="26"/>
  <c r="I47" i="26" s="1"/>
  <c r="F10" i="26"/>
  <c r="I10" i="26" s="1"/>
  <c r="F38" i="26"/>
  <c r="I38" i="26" s="1"/>
  <c r="F24" i="26"/>
  <c r="I24" i="26" s="1"/>
  <c r="F8" i="26"/>
  <c r="I8" i="26" s="1"/>
  <c r="F7" i="26"/>
  <c r="I7" i="26" s="1"/>
  <c r="F44" i="26"/>
  <c r="I44" i="26" s="1"/>
  <c r="F5" i="26"/>
  <c r="I5" i="26" s="1"/>
  <c r="F51" i="26"/>
  <c r="I51" i="26" s="1"/>
  <c r="F26" i="26"/>
  <c r="I26" i="26" s="1"/>
  <c r="F18" i="26"/>
  <c r="I18" i="26" s="1"/>
  <c r="F4" i="26"/>
  <c r="I4" i="26" s="1"/>
  <c r="H57" i="9"/>
  <c r="H62" i="9"/>
  <c r="C37" i="11"/>
  <c r="H6" i="6"/>
  <c r="G15" i="6"/>
  <c r="G14" i="6"/>
  <c r="E15" i="6"/>
  <c r="E14" i="6"/>
  <c r="AA9" i="4"/>
  <c r="AA10" i="4"/>
  <c r="AA13" i="4"/>
  <c r="AA8" i="4"/>
  <c r="O14" i="4"/>
  <c r="O15" i="4"/>
  <c r="AA4" i="4"/>
  <c r="Z14" i="4"/>
  <c r="AH19" i="20"/>
  <c r="AF20" i="20"/>
  <c r="F19" i="20"/>
  <c r="D20" i="20"/>
  <c r="L59" i="9" l="1"/>
  <c r="M59" i="9"/>
  <c r="P58" i="9"/>
  <c r="N59" i="9"/>
  <c r="F1" i="26"/>
  <c r="P59" i="9"/>
  <c r="I3" i="26"/>
  <c r="I1" i="26" s="1"/>
  <c r="M58" i="9"/>
  <c r="O59" i="9"/>
  <c r="K58" i="9"/>
  <c r="H58" i="9"/>
  <c r="N58" i="9"/>
  <c r="L58" i="9"/>
  <c r="J58" i="9"/>
  <c r="I58" i="9"/>
  <c r="G58" i="9"/>
  <c r="F62" i="9"/>
  <c r="E62" i="9" s="1"/>
  <c r="K36" i="29"/>
  <c r="M36" i="29" s="1"/>
  <c r="K34" i="29"/>
  <c r="M34" i="29" s="1"/>
  <c r="K37" i="29"/>
  <c r="M37" i="29" s="1"/>
  <c r="K5" i="29"/>
  <c r="M5" i="29" s="1"/>
  <c r="K17" i="29"/>
  <c r="M17" i="29" s="1"/>
  <c r="K24" i="29"/>
  <c r="M24" i="29" s="1"/>
  <c r="K13" i="29"/>
  <c r="M13" i="29" s="1"/>
  <c r="K32" i="29"/>
  <c r="M32" i="29" s="1"/>
  <c r="K31" i="29"/>
  <c r="M31" i="29" s="1"/>
  <c r="K30" i="29"/>
  <c r="M30" i="29" s="1"/>
  <c r="K8" i="29"/>
  <c r="M8" i="29" s="1"/>
  <c r="K39" i="29"/>
  <c r="M39" i="29" s="1"/>
  <c r="K28" i="29"/>
  <c r="M28" i="29" s="1"/>
  <c r="K29" i="29"/>
  <c r="M29" i="29" s="1"/>
  <c r="K12" i="29"/>
  <c r="M12" i="29" s="1"/>
  <c r="K35" i="29"/>
  <c r="M35" i="29" s="1"/>
  <c r="K7" i="29"/>
  <c r="M7" i="29" s="1"/>
  <c r="K15" i="29"/>
  <c r="M15" i="29" s="1"/>
  <c r="K33" i="29"/>
  <c r="M33" i="29" s="1"/>
  <c r="K14" i="29"/>
  <c r="M14" i="29" s="1"/>
  <c r="K20" i="29"/>
  <c r="M20" i="29" s="1"/>
  <c r="K25" i="29"/>
  <c r="M25" i="29" s="1"/>
  <c r="K19" i="29"/>
  <c r="M19" i="29" s="1"/>
  <c r="K22" i="29"/>
  <c r="M22" i="29" s="1"/>
  <c r="K21" i="29"/>
  <c r="M21" i="29" s="1"/>
  <c r="K27" i="29"/>
  <c r="M27" i="29" s="1"/>
  <c r="K16" i="29"/>
  <c r="K26" i="29"/>
  <c r="M26" i="29" s="1"/>
  <c r="K23" i="29"/>
  <c r="M23" i="29" s="1"/>
  <c r="K11" i="29"/>
  <c r="M11" i="29" s="1"/>
  <c r="K6" i="29"/>
  <c r="M6" i="29" s="1"/>
  <c r="K10" i="29"/>
  <c r="D2" i="29"/>
  <c r="K9" i="29"/>
  <c r="M9" i="29" s="1"/>
  <c r="H15" i="6"/>
  <c r="H14" i="6"/>
  <c r="M4" i="29"/>
  <c r="U6" i="29"/>
  <c r="F57" i="9"/>
  <c r="E57" i="9" s="1"/>
  <c r="AH15" i="20"/>
  <c r="AF15" i="20" s="1"/>
  <c r="AF19" i="20"/>
  <c r="AA15" i="4"/>
  <c r="AA16" i="4" s="1"/>
  <c r="AA14" i="4"/>
  <c r="F15" i="20"/>
  <c r="D15" i="20" s="1"/>
  <c r="D19" i="20"/>
  <c r="E59" i="9" l="1"/>
  <c r="F58" i="9"/>
  <c r="E58" i="9" s="1"/>
  <c r="U5" i="29"/>
  <c r="U13" i="29"/>
  <c r="U4" i="29"/>
  <c r="U8" i="29"/>
  <c r="U7" i="29"/>
  <c r="U10" i="29"/>
  <c r="U9" i="29"/>
  <c r="K1" i="29"/>
  <c r="C4" i="29" s="1"/>
  <c r="M16" i="29"/>
  <c r="E16" i="29" s="1"/>
  <c r="H34" i="26" s="1"/>
  <c r="U11" i="29"/>
  <c r="U12" i="29"/>
  <c r="M10" i="29"/>
  <c r="E28" i="29"/>
  <c r="H35" i="26" s="1"/>
  <c r="G5" i="39" l="1"/>
  <c r="O5" i="39" s="1"/>
  <c r="U5" i="39" s="1"/>
  <c r="W7" i="29"/>
  <c r="H11" i="26"/>
  <c r="H32" i="26"/>
  <c r="H26" i="26"/>
  <c r="H20" i="26"/>
  <c r="H29" i="26"/>
  <c r="H14" i="26"/>
  <c r="H17" i="26"/>
  <c r="H23" i="26"/>
  <c r="H7" i="26"/>
  <c r="H16" i="26"/>
  <c r="H19" i="26"/>
  <c r="H28" i="26"/>
  <c r="H13" i="26"/>
  <c r="H22" i="26"/>
  <c r="H25" i="26"/>
  <c r="H31" i="26"/>
  <c r="M1" i="29"/>
  <c r="C16" i="29"/>
  <c r="E40" i="26" s="1"/>
  <c r="C28" i="29"/>
  <c r="E41" i="26" s="1"/>
  <c r="V12" i="29"/>
  <c r="O1" i="32"/>
  <c r="O17" i="32" s="1"/>
  <c r="E4" i="29"/>
  <c r="H33" i="26" s="1"/>
  <c r="W15" i="29"/>
  <c r="W4" i="29"/>
  <c r="V5" i="29"/>
  <c r="W8" i="29"/>
  <c r="V4" i="29"/>
  <c r="W5" i="29"/>
  <c r="V11" i="29"/>
  <c r="W10" i="29"/>
  <c r="V13" i="29"/>
  <c r="W13" i="29"/>
  <c r="V7" i="29"/>
  <c r="V9" i="29"/>
  <c r="W11" i="29"/>
  <c r="V10" i="29"/>
  <c r="W14" i="29"/>
  <c r="W6" i="29"/>
  <c r="V8" i="29"/>
  <c r="W9" i="29"/>
  <c r="W12" i="29"/>
  <c r="V6" i="29"/>
  <c r="H8" i="26"/>
  <c r="H5" i="26"/>
  <c r="H4" i="26"/>
  <c r="H10" i="26"/>
  <c r="E36" i="26"/>
  <c r="E54" i="26"/>
  <c r="E57" i="26"/>
  <c r="E45" i="26"/>
  <c r="E42" i="26"/>
  <c r="E48" i="26"/>
  <c r="E63" i="26"/>
  <c r="E39" i="26"/>
  <c r="E60" i="26"/>
  <c r="E51" i="26"/>
  <c r="S5" i="39" l="1"/>
  <c r="Q5" i="39"/>
  <c r="V5" i="39" s="1"/>
  <c r="T5" i="39"/>
  <c r="I65" i="37"/>
  <c r="I64" i="37" s="1"/>
  <c r="I2" i="37" s="1"/>
  <c r="H9" i="26"/>
  <c r="H24" i="26"/>
  <c r="H18" i="26"/>
  <c r="H27" i="26"/>
  <c r="H12" i="26"/>
  <c r="H21" i="26"/>
  <c r="H30" i="26"/>
  <c r="H15" i="26"/>
  <c r="E65" i="26"/>
  <c r="J65" i="26" s="1"/>
  <c r="K65" i="26" s="1"/>
  <c r="H3" i="26"/>
  <c r="E52" i="26"/>
  <c r="J52" i="26" s="1"/>
  <c r="K52" i="26" s="1"/>
  <c r="E64" i="26"/>
  <c r="J64" i="26" s="1"/>
  <c r="K64" i="26" s="1"/>
  <c r="E49" i="26"/>
  <c r="J49" i="26" s="1"/>
  <c r="K49" i="26" s="1"/>
  <c r="E43" i="26"/>
  <c r="J43" i="26" s="1"/>
  <c r="K43" i="26" s="1"/>
  <c r="E55" i="26"/>
  <c r="J55" i="26" s="1"/>
  <c r="K55" i="26" s="1"/>
  <c r="O12" i="32"/>
  <c r="G1" i="37"/>
  <c r="O20" i="32"/>
  <c r="O23" i="32"/>
  <c r="O8" i="32"/>
  <c r="E18" i="26" s="1"/>
  <c r="O16" i="32"/>
  <c r="O18" i="32"/>
  <c r="O19" i="32"/>
  <c r="O11" i="32"/>
  <c r="E27" i="26" s="1"/>
  <c r="O4" i="32"/>
  <c r="E6" i="26" s="1"/>
  <c r="E44" i="26"/>
  <c r="J44" i="26" s="1"/>
  <c r="K44" i="26" s="1"/>
  <c r="O5" i="32"/>
  <c r="E10" i="26" s="1"/>
  <c r="O14" i="32"/>
  <c r="O7" i="32"/>
  <c r="E15" i="26" s="1"/>
  <c r="O15" i="32"/>
  <c r="E38" i="26"/>
  <c r="J38" i="26" s="1"/>
  <c r="K38" i="26" s="1"/>
  <c r="E37" i="26"/>
  <c r="J37" i="26" s="1"/>
  <c r="K37" i="26" s="1"/>
  <c r="E58" i="26"/>
  <c r="J58" i="26" s="1"/>
  <c r="K58" i="26" s="1"/>
  <c r="E56" i="26"/>
  <c r="J56" i="26" s="1"/>
  <c r="K56" i="26" s="1"/>
  <c r="E46" i="26"/>
  <c r="J46" i="26" s="1"/>
  <c r="K46" i="26" s="1"/>
  <c r="E61" i="26"/>
  <c r="J61" i="26" s="1"/>
  <c r="K61" i="26" s="1"/>
  <c r="E62" i="26"/>
  <c r="J62" i="26" s="1"/>
  <c r="K62" i="26" s="1"/>
  <c r="E53" i="26"/>
  <c r="J53" i="26" s="1"/>
  <c r="K53" i="26" s="1"/>
  <c r="E47" i="26"/>
  <c r="J47" i="26" s="1"/>
  <c r="K47" i="26" s="1"/>
  <c r="H6" i="26"/>
  <c r="E59" i="26"/>
  <c r="J59" i="26" s="1"/>
  <c r="K59" i="26" s="1"/>
  <c r="E50" i="26"/>
  <c r="J50" i="26" s="1"/>
  <c r="K50" i="26" s="1"/>
  <c r="O3" i="32"/>
  <c r="E4" i="26" s="1"/>
  <c r="O9" i="32"/>
  <c r="E21" i="26" s="1"/>
  <c r="O13" i="32"/>
  <c r="E33" i="26" s="1"/>
  <c r="J33" i="26" s="1"/>
  <c r="O22" i="32"/>
  <c r="O6" i="32"/>
  <c r="E12" i="26" s="1"/>
  <c r="O10" i="32"/>
  <c r="E24" i="26" s="1"/>
  <c r="O21" i="32"/>
  <c r="J63" i="26"/>
  <c r="K63" i="26" s="1"/>
  <c r="J42" i="26"/>
  <c r="K42" i="26" s="1"/>
  <c r="J41" i="26"/>
  <c r="K41" i="26" s="1"/>
  <c r="J54" i="26"/>
  <c r="K54" i="26" s="1"/>
  <c r="J51" i="26"/>
  <c r="K51" i="26" s="1"/>
  <c r="J40" i="26"/>
  <c r="K40" i="26" s="1"/>
  <c r="J45" i="26"/>
  <c r="K45" i="26" s="1"/>
  <c r="J36" i="26"/>
  <c r="K36" i="26" s="1"/>
  <c r="J48" i="26"/>
  <c r="K48" i="26" s="1"/>
  <c r="J60" i="26"/>
  <c r="K60" i="26" s="1"/>
  <c r="J39" i="26"/>
  <c r="K39" i="26" s="1"/>
  <c r="J57" i="26"/>
  <c r="K57" i="26" s="1"/>
  <c r="J21" i="26" l="1"/>
  <c r="E35" i="26"/>
  <c r="J35" i="26" s="1"/>
  <c r="K35" i="26" s="1"/>
  <c r="E34" i="26"/>
  <c r="J34" i="26" s="1"/>
  <c r="K34" i="26" s="1"/>
  <c r="K33" i="26"/>
  <c r="J12" i="26"/>
  <c r="K12" i="26" s="1"/>
  <c r="E3" i="26"/>
  <c r="J27" i="26"/>
  <c r="E5" i="26"/>
  <c r="J5" i="26" s="1"/>
  <c r="K5" i="26" s="1"/>
  <c r="J18" i="26"/>
  <c r="K18" i="26" s="1"/>
  <c r="D53" i="37"/>
  <c r="E28" i="26"/>
  <c r="J28" i="26" s="1"/>
  <c r="K28" i="26" s="1"/>
  <c r="E7" i="26"/>
  <c r="E8" i="26"/>
  <c r="J8" i="26" s="1"/>
  <c r="K8" i="26" s="1"/>
  <c r="E17" i="26"/>
  <c r="J17" i="26" s="1"/>
  <c r="K17" i="26" s="1"/>
  <c r="E30" i="26"/>
  <c r="J30" i="26" s="1"/>
  <c r="K30" i="26" s="1"/>
  <c r="E31" i="26"/>
  <c r="J31" i="26" s="1"/>
  <c r="K31" i="26" s="1"/>
  <c r="E9" i="26"/>
  <c r="J9" i="26" s="1"/>
  <c r="K9" i="26" s="1"/>
  <c r="E11" i="26"/>
  <c r="J11" i="26" s="1"/>
  <c r="K11" i="26" s="1"/>
  <c r="E29" i="26"/>
  <c r="J29" i="26" s="1"/>
  <c r="K29" i="26" s="1"/>
  <c r="E20" i="26"/>
  <c r="J20" i="26" s="1"/>
  <c r="K20" i="26" s="1"/>
  <c r="J15" i="26"/>
  <c r="K15" i="26" s="1"/>
  <c r="E23" i="26"/>
  <c r="J23" i="26" s="1"/>
  <c r="K23" i="26" s="1"/>
  <c r="E19" i="26"/>
  <c r="J19" i="26" s="1"/>
  <c r="K19" i="26" s="1"/>
  <c r="J24" i="26"/>
  <c r="E26" i="26"/>
  <c r="J26" i="26" s="1"/>
  <c r="K26" i="26" s="1"/>
  <c r="E16" i="26"/>
  <c r="J16" i="26" s="1"/>
  <c r="K16" i="26" s="1"/>
  <c r="E22" i="26"/>
  <c r="J22" i="26" s="1"/>
  <c r="K22" i="26" s="1"/>
  <c r="E25" i="26"/>
  <c r="J25" i="26" s="1"/>
  <c r="K25" i="26" s="1"/>
  <c r="E13" i="26"/>
  <c r="J13" i="26" s="1"/>
  <c r="K13" i="26" s="1"/>
  <c r="E14" i="26"/>
  <c r="J14" i="26" s="1"/>
  <c r="K14" i="26" s="1"/>
  <c r="E32" i="26"/>
  <c r="J32" i="26" s="1"/>
  <c r="K32" i="26" s="1"/>
  <c r="J6" i="26"/>
  <c r="K6" i="26" s="1"/>
  <c r="G37" i="9"/>
  <c r="H42" i="9"/>
  <c r="F42" i="9"/>
  <c r="J4" i="26"/>
  <c r="K4" i="26" s="1"/>
  <c r="J10" i="26"/>
  <c r="K10" i="26" s="1"/>
  <c r="H37" i="9"/>
  <c r="P38" i="9" l="1"/>
  <c r="K27" i="26"/>
  <c r="N39" i="9"/>
  <c r="K24" i="26"/>
  <c r="M39" i="9"/>
  <c r="K21" i="26"/>
  <c r="L39" i="9"/>
  <c r="J3" i="26"/>
  <c r="K3" i="26" s="1"/>
  <c r="E1" i="26"/>
  <c r="P39" i="9"/>
  <c r="L38" i="9"/>
  <c r="J7" i="26"/>
  <c r="K7" i="26" s="1"/>
  <c r="N38" i="9"/>
  <c r="J38" i="9"/>
  <c r="J103" i="9" s="1"/>
  <c r="M38" i="9"/>
  <c r="M36" i="9" s="1"/>
  <c r="M4" i="9" s="1"/>
  <c r="O39" i="9"/>
  <c r="O104" i="9" s="1"/>
  <c r="K38" i="9"/>
  <c r="K104" i="9" s="1"/>
  <c r="I38" i="9"/>
  <c r="I126" i="9" s="1"/>
  <c r="O100" i="9"/>
  <c r="O120" i="9"/>
  <c r="O101" i="9"/>
  <c r="O121" i="9"/>
  <c r="N121" i="9"/>
  <c r="N100" i="9"/>
  <c r="N120" i="9"/>
  <c r="N101" i="9"/>
  <c r="M100" i="9"/>
  <c r="M101" i="9"/>
  <c r="M121" i="9"/>
  <c r="M120" i="9"/>
  <c r="L100" i="9"/>
  <c r="L101" i="9"/>
  <c r="L121" i="9"/>
  <c r="L120" i="9"/>
  <c r="K120" i="9"/>
  <c r="K100" i="9"/>
  <c r="J100" i="9"/>
  <c r="J120" i="9"/>
  <c r="I100" i="9"/>
  <c r="I120" i="9"/>
  <c r="H38" i="9"/>
  <c r="H105" i="9" s="1"/>
  <c r="E42" i="9"/>
  <c r="I9" i="11" s="1"/>
  <c r="I38" i="11" s="1"/>
  <c r="F37" i="9"/>
  <c r="L103" i="9" l="1"/>
  <c r="F38" i="9"/>
  <c r="F126" i="9" s="1"/>
  <c r="P100" i="9"/>
  <c r="N123" i="9"/>
  <c r="K1" i="26"/>
  <c r="J1" i="26"/>
  <c r="P109" i="9"/>
  <c r="P128" i="9"/>
  <c r="P108" i="9"/>
  <c r="P104" i="9"/>
  <c r="P122" i="9"/>
  <c r="P103" i="9"/>
  <c r="P129" i="9"/>
  <c r="P124" i="9"/>
  <c r="P127" i="9"/>
  <c r="P106" i="9"/>
  <c r="P107" i="9"/>
  <c r="P121" i="9"/>
  <c r="P120" i="9"/>
  <c r="P126" i="9"/>
  <c r="P101" i="9"/>
  <c r="P102" i="9"/>
  <c r="P125" i="9"/>
  <c r="P123" i="9"/>
  <c r="P105" i="9"/>
  <c r="P36" i="9"/>
  <c r="P4" i="9" s="1"/>
  <c r="G38" i="9"/>
  <c r="G36" i="9" s="1"/>
  <c r="G4" i="9" s="1"/>
  <c r="J106" i="9"/>
  <c r="L124" i="9"/>
  <c r="J127" i="9"/>
  <c r="J109" i="9"/>
  <c r="J104" i="9"/>
  <c r="L36" i="9"/>
  <c r="L4" i="9" s="1"/>
  <c r="L108" i="9"/>
  <c r="J128" i="9"/>
  <c r="L107" i="9"/>
  <c r="L102" i="9"/>
  <c r="J102" i="9"/>
  <c r="N105" i="9"/>
  <c r="J121" i="9"/>
  <c r="J129" i="9"/>
  <c r="J108" i="9"/>
  <c r="N127" i="9"/>
  <c r="L126" i="9"/>
  <c r="L123" i="9"/>
  <c r="L129" i="9"/>
  <c r="L125" i="9"/>
  <c r="N124" i="9"/>
  <c r="N129" i="9"/>
  <c r="L105" i="9"/>
  <c r="L127" i="9"/>
  <c r="N128" i="9"/>
  <c r="M124" i="9"/>
  <c r="N106" i="9"/>
  <c r="N107" i="9"/>
  <c r="N109" i="9"/>
  <c r="N108" i="9"/>
  <c r="N104" i="9"/>
  <c r="I123" i="9"/>
  <c r="M104" i="9"/>
  <c r="I129" i="9"/>
  <c r="M108" i="9"/>
  <c r="I101" i="9"/>
  <c r="M102" i="9"/>
  <c r="I127" i="9"/>
  <c r="J124" i="9"/>
  <c r="I104" i="9"/>
  <c r="J125" i="9"/>
  <c r="M129" i="9"/>
  <c r="N126" i="9"/>
  <c r="I122" i="9"/>
  <c r="J123" i="9"/>
  <c r="I128" i="9"/>
  <c r="J36" i="9"/>
  <c r="J4" i="9" s="1"/>
  <c r="J101" i="9"/>
  <c r="N36" i="9"/>
  <c r="N4" i="9" s="1"/>
  <c r="I106" i="9"/>
  <c r="J105" i="9"/>
  <c r="J122" i="9"/>
  <c r="L122" i="9"/>
  <c r="L109" i="9"/>
  <c r="M122" i="9"/>
  <c r="I108" i="9"/>
  <c r="I103" i="9"/>
  <c r="K127" i="9"/>
  <c r="K105" i="9"/>
  <c r="M105" i="9"/>
  <c r="N125" i="9"/>
  <c r="K128" i="9"/>
  <c r="K102" i="9"/>
  <c r="K103" i="9"/>
  <c r="K107" i="9"/>
  <c r="K101" i="9"/>
  <c r="M123" i="9"/>
  <c r="M107" i="9"/>
  <c r="K124" i="9"/>
  <c r="K106" i="9"/>
  <c r="K36" i="9"/>
  <c r="K4" i="9" s="1"/>
  <c r="I107" i="9"/>
  <c r="K123" i="9"/>
  <c r="K121" i="9"/>
  <c r="I109" i="9"/>
  <c r="M106" i="9"/>
  <c r="N103" i="9"/>
  <c r="N122" i="9"/>
  <c r="I102" i="9"/>
  <c r="I105" i="9"/>
  <c r="K129" i="9"/>
  <c r="I121" i="9"/>
  <c r="K125" i="9"/>
  <c r="K122" i="9"/>
  <c r="L128" i="9"/>
  <c r="L106" i="9"/>
  <c r="M128" i="9"/>
  <c r="M125" i="9"/>
  <c r="I124" i="9"/>
  <c r="I36" i="9"/>
  <c r="I4" i="9" s="1"/>
  <c r="J107" i="9"/>
  <c r="J126" i="9"/>
  <c r="K108" i="9"/>
  <c r="K126" i="9"/>
  <c r="L104" i="9"/>
  <c r="M126" i="9"/>
  <c r="M127" i="9"/>
  <c r="N102" i="9"/>
  <c r="K109" i="9"/>
  <c r="M103" i="9"/>
  <c r="E39" i="9"/>
  <c r="F9" i="11" s="1"/>
  <c r="F38" i="11" s="1"/>
  <c r="I125" i="9"/>
  <c r="M109" i="9"/>
  <c r="O123" i="9"/>
  <c r="O107" i="9"/>
  <c r="O125" i="9"/>
  <c r="O109" i="9"/>
  <c r="O128" i="9"/>
  <c r="O36" i="9"/>
  <c r="O4" i="9" s="1"/>
  <c r="O102" i="9"/>
  <c r="O126" i="9"/>
  <c r="O103" i="9"/>
  <c r="O105" i="9"/>
  <c r="O127" i="9"/>
  <c r="O124" i="9"/>
  <c r="O108" i="9"/>
  <c r="O106" i="9"/>
  <c r="O122" i="9"/>
  <c r="O129" i="9"/>
  <c r="H126" i="9"/>
  <c r="H103" i="9"/>
  <c r="H121" i="9"/>
  <c r="H109" i="9"/>
  <c r="H104" i="9"/>
  <c r="H127" i="9"/>
  <c r="H107" i="9"/>
  <c r="H101" i="9"/>
  <c r="H129" i="9"/>
  <c r="H122" i="9"/>
  <c r="H100" i="9"/>
  <c r="H128" i="9"/>
  <c r="H120" i="9"/>
  <c r="H102" i="9"/>
  <c r="H125" i="9"/>
  <c r="H36" i="9"/>
  <c r="H4" i="9" s="1"/>
  <c r="H108" i="9"/>
  <c r="H123" i="9"/>
  <c r="H106" i="9"/>
  <c r="H124" i="9"/>
  <c r="G100" i="9"/>
  <c r="G120" i="9"/>
  <c r="F120" i="9"/>
  <c r="F100" i="9"/>
  <c r="F127" i="9"/>
  <c r="F108" i="9"/>
  <c r="F109" i="9"/>
  <c r="F107" i="9"/>
  <c r="F104" i="9"/>
  <c r="F122" i="9"/>
  <c r="F101" i="9"/>
  <c r="F124" i="9"/>
  <c r="F123" i="9"/>
  <c r="F105" i="9"/>
  <c r="F129" i="9"/>
  <c r="F128" i="9"/>
  <c r="F103" i="9"/>
  <c r="F121" i="9"/>
  <c r="F125" i="9"/>
  <c r="F36" i="9"/>
  <c r="F4" i="9" s="1"/>
  <c r="F106" i="9"/>
  <c r="E37" i="9"/>
  <c r="F102" i="9" l="1"/>
  <c r="E10" i="20" s="1"/>
  <c r="G108" i="9"/>
  <c r="E108" i="9" s="1"/>
  <c r="E38" i="9"/>
  <c r="E9" i="11" s="1"/>
  <c r="E38" i="11" s="1"/>
  <c r="G104" i="9"/>
  <c r="E104" i="9" s="1"/>
  <c r="G105" i="9"/>
  <c r="E105" i="9" s="1"/>
  <c r="AQ10" i="20"/>
  <c r="AQ9" i="20" s="1"/>
  <c r="G109" i="9"/>
  <c r="E109" i="9" s="1"/>
  <c r="G128" i="9"/>
  <c r="E128" i="9" s="1"/>
  <c r="G121" i="9"/>
  <c r="E121" i="9" s="1"/>
  <c r="G124" i="9"/>
  <c r="E124" i="9" s="1"/>
  <c r="G101" i="9"/>
  <c r="E101" i="9" s="1"/>
  <c r="G103" i="9"/>
  <c r="E103" i="9" s="1"/>
  <c r="G102" i="9"/>
  <c r="G122" i="9"/>
  <c r="E122" i="9" s="1"/>
  <c r="G126" i="9"/>
  <c r="E126" i="9" s="1"/>
  <c r="G125" i="9"/>
  <c r="E125" i="9" s="1"/>
  <c r="G127" i="9"/>
  <c r="E127" i="9" s="1"/>
  <c r="O6" i="20"/>
  <c r="O5" i="20" s="1"/>
  <c r="P99" i="9"/>
  <c r="P77" i="9" s="1"/>
  <c r="AQ6" i="20"/>
  <c r="AQ5" i="20" s="1"/>
  <c r="O10" i="20"/>
  <c r="O9" i="20" s="1"/>
  <c r="G129" i="9"/>
  <c r="E129" i="9" s="1"/>
  <c r="G107" i="9"/>
  <c r="E107" i="9" s="1"/>
  <c r="G123" i="9"/>
  <c r="E123" i="9" s="1"/>
  <c r="G106" i="9"/>
  <c r="E106" i="9" s="1"/>
  <c r="AO6" i="20"/>
  <c r="AO5" i="20" s="1"/>
  <c r="L6" i="20"/>
  <c r="L5" i="20" s="1"/>
  <c r="AK10" i="20"/>
  <c r="AK9" i="20" s="1"/>
  <c r="K10" i="20"/>
  <c r="K9" i="20" s="1"/>
  <c r="AN6" i="20"/>
  <c r="AN5" i="20" s="1"/>
  <c r="AO10" i="20"/>
  <c r="AO9" i="20" s="1"/>
  <c r="M6" i="20"/>
  <c r="M5" i="20" s="1"/>
  <c r="K6" i="20"/>
  <c r="K5" i="20" s="1"/>
  <c r="N99" i="9"/>
  <c r="N77" i="9" s="1"/>
  <c r="I6" i="20"/>
  <c r="I5" i="20" s="1"/>
  <c r="AK6" i="20"/>
  <c r="AK5" i="20" s="1"/>
  <c r="AJ10" i="20"/>
  <c r="AJ9" i="20" s="1"/>
  <c r="M10" i="20"/>
  <c r="M9" i="20" s="1"/>
  <c r="J99" i="9"/>
  <c r="J77" i="9" s="1"/>
  <c r="M99" i="9"/>
  <c r="M77" i="9" s="1"/>
  <c r="AM6" i="20"/>
  <c r="AM5" i="20" s="1"/>
  <c r="L99" i="9"/>
  <c r="L77" i="9" s="1"/>
  <c r="I99" i="9"/>
  <c r="I77" i="9" s="1"/>
  <c r="AM10" i="20"/>
  <c r="AM9" i="20" s="1"/>
  <c r="I10" i="20"/>
  <c r="I9" i="20" s="1"/>
  <c r="AN10" i="20"/>
  <c r="AN9" i="20" s="1"/>
  <c r="J6" i="20"/>
  <c r="J5" i="20" s="1"/>
  <c r="AJ6" i="20"/>
  <c r="AJ5" i="20" s="1"/>
  <c r="K99" i="9"/>
  <c r="K77" i="9" s="1"/>
  <c r="H10" i="20"/>
  <c r="H9" i="20" s="1"/>
  <c r="AL10" i="20"/>
  <c r="AL9" i="20" s="1"/>
  <c r="H6" i="20"/>
  <c r="H5" i="20" s="1"/>
  <c r="J10" i="20"/>
  <c r="J9" i="20" s="1"/>
  <c r="L10" i="20"/>
  <c r="L9" i="20" s="1"/>
  <c r="AL6" i="20"/>
  <c r="AL5" i="20" s="1"/>
  <c r="N6" i="20"/>
  <c r="N5" i="20" s="1"/>
  <c r="O99" i="9"/>
  <c r="O77" i="9" s="1"/>
  <c r="N10" i="20"/>
  <c r="N9" i="20" s="1"/>
  <c r="AP10" i="20"/>
  <c r="AP9" i="20" s="1"/>
  <c r="AP6" i="20"/>
  <c r="AP5" i="20" s="1"/>
  <c r="G10" i="20"/>
  <c r="G9" i="20" s="1"/>
  <c r="AI6" i="20"/>
  <c r="AI5" i="20" s="1"/>
  <c r="H99" i="9"/>
  <c r="H77" i="9" s="1"/>
  <c r="G6" i="20"/>
  <c r="G5" i="20" s="1"/>
  <c r="AI10" i="20"/>
  <c r="AI9" i="20" s="1"/>
  <c r="E100" i="9"/>
  <c r="E120" i="9"/>
  <c r="F99" i="9"/>
  <c r="F77" i="9" s="1"/>
  <c r="E6" i="20"/>
  <c r="AG6" i="20"/>
  <c r="D9" i="11"/>
  <c r="AG10" i="20" l="1"/>
  <c r="E102" i="9"/>
  <c r="G4" i="39"/>
  <c r="S4" i="39" s="1"/>
  <c r="E36" i="9"/>
  <c r="C3" i="39" s="1"/>
  <c r="AH10" i="20"/>
  <c r="AH9" i="20" s="1"/>
  <c r="F6" i="20"/>
  <c r="F5" i="20" s="1"/>
  <c r="F10" i="20"/>
  <c r="F9" i="20" s="1"/>
  <c r="AH6" i="20"/>
  <c r="AH5" i="20" s="1"/>
  <c r="G99" i="9"/>
  <c r="G77" i="9" s="1"/>
  <c r="K10" i="11"/>
  <c r="J11" i="6" s="1"/>
  <c r="I10" i="11"/>
  <c r="J9" i="6" s="1"/>
  <c r="K9" i="6" s="1"/>
  <c r="G10" i="11"/>
  <c r="G39" i="11" s="1"/>
  <c r="F10" i="11"/>
  <c r="F39" i="11" s="1"/>
  <c r="D10" i="11"/>
  <c r="D39" i="11" s="1"/>
  <c r="M10" i="11"/>
  <c r="M39" i="11" s="1"/>
  <c r="H10" i="11"/>
  <c r="J8" i="6" s="1"/>
  <c r="K8" i="6" s="1"/>
  <c r="L10" i="11"/>
  <c r="J12" i="6" s="1"/>
  <c r="K12" i="6" s="1"/>
  <c r="G10" i="39"/>
  <c r="Q10" i="39" s="1"/>
  <c r="V10" i="39" s="1"/>
  <c r="J10" i="11"/>
  <c r="J10" i="6" s="1"/>
  <c r="K10" i="6" s="1"/>
  <c r="AG5" i="20"/>
  <c r="E5" i="20"/>
  <c r="D38" i="11"/>
  <c r="C38" i="11" s="1"/>
  <c r="C9" i="11"/>
  <c r="AG9" i="20"/>
  <c r="E9" i="20"/>
  <c r="E10" i="11"/>
  <c r="G9" i="39"/>
  <c r="E99" i="9"/>
  <c r="T4" i="39" l="1"/>
  <c r="Q4" i="39"/>
  <c r="V4" i="39" s="1"/>
  <c r="O4" i="39"/>
  <c r="U4" i="39" s="1"/>
  <c r="E4" i="9"/>
  <c r="I152" i="9" s="1"/>
  <c r="D5" i="20"/>
  <c r="D6" i="20"/>
  <c r="AF9" i="20"/>
  <c r="AF10" i="20"/>
  <c r="AF6" i="20"/>
  <c r="AF5" i="20"/>
  <c r="D10" i="20"/>
  <c r="D9" i="20"/>
  <c r="K39" i="11"/>
  <c r="I39" i="11"/>
  <c r="J4" i="6"/>
  <c r="K4" i="6" s="1"/>
  <c r="J13" i="6"/>
  <c r="K13" i="6" s="1"/>
  <c r="J6" i="6"/>
  <c r="K6" i="6" s="1"/>
  <c r="J7" i="6"/>
  <c r="K7" i="6" s="1"/>
  <c r="H39" i="11"/>
  <c r="O10" i="39"/>
  <c r="U10" i="39" s="1"/>
  <c r="L39" i="11"/>
  <c r="S10" i="39"/>
  <c r="J39" i="11"/>
  <c r="T10" i="39"/>
  <c r="Q162" i="9"/>
  <c r="K162" i="9"/>
  <c r="Y162" i="9"/>
  <c r="S162" i="9"/>
  <c r="I162" i="9"/>
  <c r="R162" i="9"/>
  <c r="P162" i="9"/>
  <c r="J162" i="9"/>
  <c r="U162" i="9"/>
  <c r="L162" i="9"/>
  <c r="V162" i="9"/>
  <c r="O162" i="9"/>
  <c r="Z162" i="9"/>
  <c r="X162" i="9"/>
  <c r="M162" i="9"/>
  <c r="W162" i="9"/>
  <c r="T162" i="9"/>
  <c r="N162" i="9"/>
  <c r="H162" i="9"/>
  <c r="G162" i="9"/>
  <c r="E77" i="9"/>
  <c r="C9" i="39"/>
  <c r="E39" i="11"/>
  <c r="C10" i="11"/>
  <c r="J5" i="6"/>
  <c r="K5" i="6" s="1"/>
  <c r="K11" i="6"/>
  <c r="T9" i="39"/>
  <c r="S9" i="39"/>
  <c r="Q9" i="39"/>
  <c r="V9" i="39" s="1"/>
  <c r="O9" i="39"/>
  <c r="U9" i="39" s="1"/>
  <c r="F165" i="9" l="1"/>
  <c r="F170" i="9"/>
  <c r="O169" i="9"/>
  <c r="G161" i="9"/>
  <c r="G169" i="9"/>
  <c r="V152" i="9"/>
  <c r="U159" i="9"/>
  <c r="G170" i="9"/>
  <c r="W163" i="9"/>
  <c r="H156" i="9"/>
  <c r="J164" i="9"/>
  <c r="F159" i="9"/>
  <c r="H165" i="9"/>
  <c r="F153" i="9"/>
  <c r="W161" i="9"/>
  <c r="F161" i="9"/>
  <c r="H153" i="9"/>
  <c r="P157" i="9"/>
  <c r="F166" i="9"/>
  <c r="G164" i="9"/>
  <c r="W157" i="9"/>
  <c r="F151" i="9"/>
  <c r="H159" i="9"/>
  <c r="G160" i="9"/>
  <c r="O163" i="9"/>
  <c r="W164" i="9"/>
  <c r="F162" i="9"/>
  <c r="E162" i="9" s="1"/>
  <c r="G151" i="9"/>
  <c r="H151" i="9"/>
  <c r="W168" i="9"/>
  <c r="L167" i="9"/>
  <c r="F157" i="9"/>
  <c r="G156" i="9"/>
  <c r="H167" i="9"/>
  <c r="T170" i="9"/>
  <c r="X159" i="9"/>
  <c r="F155" i="9"/>
  <c r="H169" i="9"/>
  <c r="G163" i="9"/>
  <c r="J154" i="9"/>
  <c r="U158" i="9"/>
  <c r="F158" i="9"/>
  <c r="F154" i="9"/>
  <c r="H158" i="9"/>
  <c r="H160" i="9"/>
  <c r="N167" i="9"/>
  <c r="T153" i="9"/>
  <c r="X160" i="9"/>
  <c r="F156" i="9"/>
  <c r="G167" i="9"/>
  <c r="H155" i="9"/>
  <c r="H154" i="9"/>
  <c r="O161" i="9"/>
  <c r="X157" i="9"/>
  <c r="F167" i="9"/>
  <c r="F169" i="9"/>
  <c r="F152" i="9"/>
  <c r="G154" i="9"/>
  <c r="H157" i="9"/>
  <c r="H168" i="9"/>
  <c r="G153" i="9"/>
  <c r="H166" i="9"/>
  <c r="T154" i="9"/>
  <c r="M164" i="9"/>
  <c r="J169" i="9"/>
  <c r="Z163" i="9"/>
  <c r="N160" i="9"/>
  <c r="F163" i="9"/>
  <c r="G159" i="9"/>
  <c r="G158" i="9"/>
  <c r="H170" i="9"/>
  <c r="G157" i="9"/>
  <c r="H163" i="9"/>
  <c r="J163" i="9"/>
  <c r="M156" i="9"/>
  <c r="V167" i="9"/>
  <c r="Z164" i="9"/>
  <c r="T159" i="9"/>
  <c r="F160" i="9"/>
  <c r="F168" i="9"/>
  <c r="F164" i="9"/>
  <c r="G166" i="9"/>
  <c r="G155" i="9"/>
  <c r="G152" i="9"/>
  <c r="G168" i="9"/>
  <c r="W152" i="9"/>
  <c r="V168" i="9"/>
  <c r="W153" i="9"/>
  <c r="O159" i="9"/>
  <c r="W160" i="9"/>
  <c r="H164" i="9"/>
  <c r="G165" i="9"/>
  <c r="H161" i="9"/>
  <c r="H152" i="9"/>
  <c r="N155" i="9"/>
  <c r="L158" i="9"/>
  <c r="N163" i="9"/>
  <c r="X164" i="9"/>
  <c r="N165" i="9"/>
  <c r="N161" i="9"/>
  <c r="L163" i="9"/>
  <c r="Z160" i="9"/>
  <c r="T167" i="9"/>
  <c r="L159" i="9"/>
  <c r="M167" i="9"/>
  <c r="R168" i="9"/>
  <c r="U152" i="9"/>
  <c r="X154" i="9"/>
  <c r="O160" i="9"/>
  <c r="Z168" i="9"/>
  <c r="T161" i="9"/>
  <c r="L164" i="9"/>
  <c r="M159" i="9"/>
  <c r="R155" i="9"/>
  <c r="U155" i="9"/>
  <c r="Z151" i="9"/>
  <c r="R152" i="9"/>
  <c r="J151" i="9"/>
  <c r="L166" i="9"/>
  <c r="U169" i="9"/>
  <c r="R163" i="9"/>
  <c r="R159" i="9"/>
  <c r="Y159" i="9"/>
  <c r="U161" i="9"/>
  <c r="N157" i="9"/>
  <c r="L168" i="9"/>
  <c r="X156" i="9"/>
  <c r="Z154" i="9"/>
  <c r="O167" i="9"/>
  <c r="L160" i="9"/>
  <c r="X151" i="9"/>
  <c r="Z161" i="9"/>
  <c r="T156" i="9"/>
  <c r="V160" i="9"/>
  <c r="O166" i="9"/>
  <c r="M155" i="9"/>
  <c r="P166" i="9"/>
  <c r="V154" i="9"/>
  <c r="W159" i="9"/>
  <c r="W158" i="9"/>
  <c r="X165" i="9"/>
  <c r="P161" i="9"/>
  <c r="T151" i="9"/>
  <c r="V169" i="9"/>
  <c r="X155" i="9"/>
  <c r="U166" i="9"/>
  <c r="P168" i="9"/>
  <c r="L170" i="9"/>
  <c r="W166" i="9"/>
  <c r="J161" i="9"/>
  <c r="N158" i="9"/>
  <c r="J166" i="9"/>
  <c r="V153" i="9"/>
  <c r="O157" i="9"/>
  <c r="M169" i="9"/>
  <c r="U154" i="9"/>
  <c r="P155" i="9"/>
  <c r="T157" i="9"/>
  <c r="Z158" i="9"/>
  <c r="J156" i="9"/>
  <c r="Z155" i="9"/>
  <c r="J155" i="9"/>
  <c r="V166" i="9"/>
  <c r="O170" i="9"/>
  <c r="M170" i="9"/>
  <c r="Z156" i="9"/>
  <c r="R154" i="9"/>
  <c r="J168" i="9"/>
  <c r="R169" i="9"/>
  <c r="V163" i="9"/>
  <c r="Y157" i="9"/>
  <c r="V156" i="9"/>
  <c r="X153" i="9"/>
  <c r="Z166" i="9"/>
  <c r="R167" i="9"/>
  <c r="N169" i="9"/>
  <c r="J165" i="9"/>
  <c r="X169" i="9"/>
  <c r="N156" i="9"/>
  <c r="Y169" i="9"/>
  <c r="V170" i="9"/>
  <c r="M152" i="9"/>
  <c r="P153" i="9"/>
  <c r="W156" i="9"/>
  <c r="N168" i="9"/>
  <c r="V165" i="9"/>
  <c r="M168" i="9"/>
  <c r="V155" i="9"/>
  <c r="Q155" i="9"/>
  <c r="N153" i="9"/>
  <c r="L157" i="9"/>
  <c r="M151" i="9"/>
  <c r="P156" i="9"/>
  <c r="W167" i="9"/>
  <c r="T160" i="9"/>
  <c r="V159" i="9"/>
  <c r="M166" i="9"/>
  <c r="L169" i="9"/>
  <c r="T152" i="9"/>
  <c r="L165" i="9"/>
  <c r="M160" i="9"/>
  <c r="P159" i="9"/>
  <c r="W151" i="9"/>
  <c r="T166" i="9"/>
  <c r="L155" i="9"/>
  <c r="Z167" i="9"/>
  <c r="X152" i="9"/>
  <c r="U168" i="9"/>
  <c r="P152" i="9"/>
  <c r="R153" i="9"/>
  <c r="J160" i="9"/>
  <c r="O153" i="9"/>
  <c r="U151" i="9"/>
  <c r="R157" i="9"/>
  <c r="W170" i="9"/>
  <c r="T168" i="9"/>
  <c r="O158" i="9"/>
  <c r="P160" i="9"/>
  <c r="K153" i="9"/>
  <c r="N159" i="9"/>
  <c r="T163" i="9"/>
  <c r="V161" i="9"/>
  <c r="X167" i="9"/>
  <c r="R161" i="9"/>
  <c r="O164" i="9"/>
  <c r="Q160" i="9"/>
  <c r="N151" i="9"/>
  <c r="N166" i="9"/>
  <c r="J159" i="9"/>
  <c r="O155" i="9"/>
  <c r="U165" i="9"/>
  <c r="N164" i="9"/>
  <c r="Z153" i="9"/>
  <c r="U157" i="9"/>
  <c r="T165" i="9"/>
  <c r="K159" i="9"/>
  <c r="V151" i="9"/>
  <c r="O156" i="9"/>
  <c r="X170" i="9"/>
  <c r="Z159" i="9"/>
  <c r="W169" i="9"/>
  <c r="L161" i="9"/>
  <c r="R151" i="9"/>
  <c r="Y167" i="9"/>
  <c r="J153" i="9"/>
  <c r="L154" i="9"/>
  <c r="O165" i="9"/>
  <c r="M163" i="9"/>
  <c r="P164" i="9"/>
  <c r="J167" i="9"/>
  <c r="X163" i="9"/>
  <c r="I166" i="9"/>
  <c r="J152" i="9"/>
  <c r="L151" i="9"/>
  <c r="X158" i="9"/>
  <c r="M158" i="9"/>
  <c r="R164" i="9"/>
  <c r="J157" i="9"/>
  <c r="U163" i="9"/>
  <c r="Y170" i="9"/>
  <c r="P158" i="9"/>
  <c r="W154" i="9"/>
  <c r="N152" i="9"/>
  <c r="J170" i="9"/>
  <c r="L152" i="9"/>
  <c r="X168" i="9"/>
  <c r="U160" i="9"/>
  <c r="R166" i="9"/>
  <c r="I165" i="9"/>
  <c r="Q152" i="9"/>
  <c r="Q153" i="9"/>
  <c r="P169" i="9"/>
  <c r="W155" i="9"/>
  <c r="T155" i="9"/>
  <c r="J158" i="9"/>
  <c r="L153" i="9"/>
  <c r="X166" i="9"/>
  <c r="Z157" i="9"/>
  <c r="S159" i="9"/>
  <c r="I156" i="9"/>
  <c r="S160" i="9"/>
  <c r="I158" i="9"/>
  <c r="M154" i="9"/>
  <c r="Z152" i="9"/>
  <c r="R165" i="9"/>
  <c r="W165" i="9"/>
  <c r="T169" i="9"/>
  <c r="V157" i="9"/>
  <c r="O151" i="9"/>
  <c r="M153" i="9"/>
  <c r="P151" i="9"/>
  <c r="K158" i="9"/>
  <c r="Q158" i="9"/>
  <c r="Q161" i="9"/>
  <c r="U153" i="9"/>
  <c r="Z169" i="9"/>
  <c r="R170" i="9"/>
  <c r="N170" i="9"/>
  <c r="T158" i="9"/>
  <c r="V158" i="9"/>
  <c r="O152" i="9"/>
  <c r="M157" i="9"/>
  <c r="P170" i="9"/>
  <c r="K167" i="9"/>
  <c r="K156" i="9"/>
  <c r="S170" i="9"/>
  <c r="U164" i="9"/>
  <c r="P167" i="9"/>
  <c r="R160" i="9"/>
  <c r="N154" i="9"/>
  <c r="T164" i="9"/>
  <c r="V164" i="9"/>
  <c r="O154" i="9"/>
  <c r="U167" i="9"/>
  <c r="R158" i="9"/>
  <c r="Y163" i="9"/>
  <c r="K170" i="9"/>
  <c r="K157" i="9"/>
  <c r="L156" i="9"/>
  <c r="X161" i="9"/>
  <c r="U170" i="9"/>
  <c r="Z165" i="9"/>
  <c r="S169" i="9"/>
  <c r="Y166" i="9"/>
  <c r="K151" i="9"/>
  <c r="Y156" i="9"/>
  <c r="I151" i="9"/>
  <c r="I163" i="9"/>
  <c r="M161" i="9"/>
  <c r="U156" i="9"/>
  <c r="P154" i="9"/>
  <c r="S156" i="9"/>
  <c r="Q163" i="9"/>
  <c r="I153" i="9"/>
  <c r="I168" i="9"/>
  <c r="K161" i="9"/>
  <c r="O168" i="9"/>
  <c r="M165" i="9"/>
  <c r="Z170" i="9"/>
  <c r="P165" i="9"/>
  <c r="S168" i="9"/>
  <c r="Q166" i="9"/>
  <c r="S152" i="9"/>
  <c r="I155" i="9"/>
  <c r="Y152" i="9"/>
  <c r="S158" i="9"/>
  <c r="K163" i="9"/>
  <c r="Q157" i="9"/>
  <c r="K168" i="9"/>
  <c r="S154" i="9"/>
  <c r="K166" i="9"/>
  <c r="Q165" i="9"/>
  <c r="S151" i="9"/>
  <c r="Q170" i="9"/>
  <c r="K160" i="9"/>
  <c r="Y155" i="9"/>
  <c r="I164" i="9"/>
  <c r="Y168" i="9"/>
  <c r="S157" i="9"/>
  <c r="Y153" i="9"/>
  <c r="Q156" i="9"/>
  <c r="S165" i="9"/>
  <c r="I157" i="9"/>
  <c r="K169" i="9"/>
  <c r="Q167" i="9"/>
  <c r="I154" i="9"/>
  <c r="R156" i="9"/>
  <c r="S164" i="9"/>
  <c r="Y164" i="9"/>
  <c r="I161" i="9"/>
  <c r="Y154" i="9"/>
  <c r="S167" i="9"/>
  <c r="Y151" i="9"/>
  <c r="I170" i="9"/>
  <c r="K152" i="9"/>
  <c r="S161" i="9"/>
  <c r="K165" i="9"/>
  <c r="Q151" i="9"/>
  <c r="I160" i="9"/>
  <c r="Q164" i="9"/>
  <c r="S163" i="9"/>
  <c r="Y160" i="9"/>
  <c r="I167" i="9"/>
  <c r="K164" i="9"/>
  <c r="S153" i="9"/>
  <c r="Y165" i="9"/>
  <c r="Q159" i="9"/>
  <c r="P163" i="9"/>
  <c r="Q154" i="9"/>
  <c r="K155" i="9"/>
  <c r="Q169" i="9"/>
  <c r="S155" i="9"/>
  <c r="I169" i="9"/>
  <c r="K154" i="9"/>
  <c r="Q168" i="9"/>
  <c r="I159" i="9"/>
  <c r="Y158" i="9"/>
  <c r="S166" i="9"/>
  <c r="Y161" i="9"/>
  <c r="C39" i="11"/>
  <c r="J14" i="6"/>
  <c r="J15" i="6"/>
  <c r="K14" i="6"/>
  <c r="K15" i="6"/>
  <c r="F150" i="9" l="1"/>
  <c r="E13" i="20" s="1"/>
  <c r="E3" i="20" s="1"/>
  <c r="AI13" i="20"/>
  <c r="AI3" i="20" s="1"/>
  <c r="H150" i="9"/>
  <c r="G13" i="20" s="1"/>
  <c r="G3" i="20" s="1"/>
  <c r="AG13" i="20"/>
  <c r="AG3" i="20" s="1"/>
  <c r="AH13" i="20"/>
  <c r="AH3" i="20" s="1"/>
  <c r="G150" i="9"/>
  <c r="F13" i="20" s="1"/>
  <c r="F3" i="20" s="1"/>
  <c r="AW13" i="20"/>
  <c r="AW3" i="20" s="1"/>
  <c r="W150" i="9"/>
  <c r="V13" i="20" s="1"/>
  <c r="V3" i="20" s="1"/>
  <c r="V150" i="9"/>
  <c r="U13" i="20" s="1"/>
  <c r="U3" i="20" s="1"/>
  <c r="J150" i="9"/>
  <c r="I13" i="20" s="1"/>
  <c r="I3" i="20" s="1"/>
  <c r="Z150" i="9"/>
  <c r="Y13" i="20" s="1"/>
  <c r="Y3" i="20" s="1"/>
  <c r="AU13" i="20"/>
  <c r="AU3" i="20" s="1"/>
  <c r="AK13" i="20"/>
  <c r="AK3" i="20" s="1"/>
  <c r="AN13" i="20"/>
  <c r="AN3" i="20" s="1"/>
  <c r="E170" i="9"/>
  <c r="AO13" i="20"/>
  <c r="AO3" i="20" s="1"/>
  <c r="BA13" i="20"/>
  <c r="BA3" i="20" s="1"/>
  <c r="AX13" i="20"/>
  <c r="AX3" i="20" s="1"/>
  <c r="AP13" i="20"/>
  <c r="AP3" i="20" s="1"/>
  <c r="E159" i="9"/>
  <c r="AQ13" i="20"/>
  <c r="AQ3" i="20" s="1"/>
  <c r="U150" i="9"/>
  <c r="T13" i="20" s="1"/>
  <c r="T3" i="20" s="1"/>
  <c r="M150" i="9"/>
  <c r="L13" i="20" s="1"/>
  <c r="L3" i="20" s="1"/>
  <c r="N150" i="9"/>
  <c r="M13" i="20" s="1"/>
  <c r="M3" i="20" s="1"/>
  <c r="O150" i="9"/>
  <c r="N13" i="20" s="1"/>
  <c r="N3" i="20" s="1"/>
  <c r="AV13" i="20"/>
  <c r="AV3" i="20" s="1"/>
  <c r="T150" i="9"/>
  <c r="S13" i="20" s="1"/>
  <c r="S3" i="20" s="1"/>
  <c r="X150" i="9"/>
  <c r="W13" i="20" s="1"/>
  <c r="W3" i="20" s="1"/>
  <c r="E152" i="9"/>
  <c r="E14" i="11" s="1"/>
  <c r="E43" i="11" s="1"/>
  <c r="E44" i="11" s="1"/>
  <c r="R150" i="9"/>
  <c r="Q13" i="20" s="1"/>
  <c r="Q3" i="20" s="1"/>
  <c r="L150" i="9"/>
  <c r="K13" i="20" s="1"/>
  <c r="K3" i="20" s="1"/>
  <c r="AS13" i="20"/>
  <c r="AS3" i="20" s="1"/>
  <c r="AM13" i="20"/>
  <c r="AM3" i="20" s="1"/>
  <c r="E153" i="9"/>
  <c r="P150" i="9"/>
  <c r="O13" i="20" s="1"/>
  <c r="O3" i="20" s="1"/>
  <c r="E167" i="9"/>
  <c r="E157" i="9"/>
  <c r="E154" i="9"/>
  <c r="E165" i="9"/>
  <c r="E155" i="9"/>
  <c r="E161" i="9"/>
  <c r="E163" i="9"/>
  <c r="E166" i="9"/>
  <c r="S150" i="9"/>
  <c r="R13" i="20" s="1"/>
  <c r="R3" i="20" s="1"/>
  <c r="AJ13" i="20"/>
  <c r="AJ3" i="20" s="1"/>
  <c r="E151" i="9"/>
  <c r="E164" i="9"/>
  <c r="E156" i="9"/>
  <c r="AZ13" i="20"/>
  <c r="AZ3" i="20" s="1"/>
  <c r="I150" i="9"/>
  <c r="H13" i="20" s="1"/>
  <c r="H3" i="20" s="1"/>
  <c r="Q150" i="9"/>
  <c r="P13" i="20" s="1"/>
  <c r="P3" i="20" s="1"/>
  <c r="E160" i="9"/>
  <c r="AL13" i="20"/>
  <c r="AL3" i="20" s="1"/>
  <c r="AR13" i="20"/>
  <c r="AR3" i="20" s="1"/>
  <c r="E158" i="9"/>
  <c r="E168" i="9"/>
  <c r="AY13" i="20"/>
  <c r="AY3" i="20" s="1"/>
  <c r="E169" i="9"/>
  <c r="AT13" i="20"/>
  <c r="AT3" i="20" s="1"/>
  <c r="K150" i="9"/>
  <c r="J13" i="20" s="1"/>
  <c r="J3" i="20" s="1"/>
  <c r="Y150" i="9"/>
  <c r="X13" i="20" s="1"/>
  <c r="X3" i="20" s="1"/>
  <c r="F14" i="11" l="1"/>
  <c r="F43" i="11" s="1"/>
  <c r="F44" i="11" s="1"/>
  <c r="M14" i="11"/>
  <c r="M15" i="11" s="1"/>
  <c r="L14" i="11"/>
  <c r="L43" i="11" s="1"/>
  <c r="L44" i="11" s="1"/>
  <c r="H14" i="11"/>
  <c r="H43" i="11" s="1"/>
  <c r="H44" i="11" s="1"/>
  <c r="J14" i="11"/>
  <c r="P10" i="6" s="1"/>
  <c r="Q10" i="6" s="1"/>
  <c r="I14" i="11"/>
  <c r="I43" i="11" s="1"/>
  <c r="I44" i="11" s="1"/>
  <c r="D3" i="20"/>
  <c r="K14" i="11"/>
  <c r="K15" i="11" s="1"/>
  <c r="G14" i="11"/>
  <c r="G43" i="11" s="1"/>
  <c r="G44" i="11" s="1"/>
  <c r="C15" i="39"/>
  <c r="AF13" i="20"/>
  <c r="C17" i="39"/>
  <c r="AF3" i="20"/>
  <c r="D14" i="11"/>
  <c r="P4" i="6" s="1"/>
  <c r="E150" i="9"/>
  <c r="D13" i="20"/>
  <c r="P5" i="6"/>
  <c r="Q5" i="6" s="1"/>
  <c r="E15" i="11"/>
  <c r="S17" i="39"/>
  <c r="T17" i="39"/>
  <c r="O17" i="39"/>
  <c r="U17" i="39" s="1"/>
  <c r="Q17" i="39"/>
  <c r="V17" i="39" s="1"/>
  <c r="F15" i="11" l="1"/>
  <c r="P7" i="6"/>
  <c r="V7" i="6" s="1"/>
  <c r="F7" i="2" s="1"/>
  <c r="G7" i="2" s="1"/>
  <c r="P6" i="6"/>
  <c r="Q6" i="6" s="1"/>
  <c r="P13" i="6"/>
  <c r="Q13" i="6" s="1"/>
  <c r="M43" i="11"/>
  <c r="M44" i="11" s="1"/>
  <c r="G15" i="11"/>
  <c r="P8" i="6"/>
  <c r="V8" i="6" s="1"/>
  <c r="F8" i="2" s="1"/>
  <c r="G8" i="2" s="1"/>
  <c r="J15" i="11"/>
  <c r="H15" i="11"/>
  <c r="P12" i="6"/>
  <c r="Q12" i="6" s="1"/>
  <c r="L15" i="11"/>
  <c r="J43" i="11"/>
  <c r="J44" i="11" s="1"/>
  <c r="V10" i="6"/>
  <c r="F10" i="2" s="1"/>
  <c r="G10" i="2" s="1"/>
  <c r="J10" i="2" s="1"/>
  <c r="P9" i="6"/>
  <c r="Q9" i="6" s="1"/>
  <c r="C22" i="39"/>
  <c r="I15" i="11"/>
  <c r="P11" i="6"/>
  <c r="Q11" i="6" s="1"/>
  <c r="K43" i="11"/>
  <c r="K44" i="11" s="1"/>
  <c r="C14" i="11"/>
  <c r="C15" i="11" s="1"/>
  <c r="D43" i="11"/>
  <c r="D44" i="11" s="1"/>
  <c r="D15" i="11"/>
  <c r="V5" i="6"/>
  <c r="Q4" i="6"/>
  <c r="V4" i="6"/>
  <c r="Q15" i="39"/>
  <c r="G22" i="39"/>
  <c r="T15" i="39"/>
  <c r="T22" i="39" s="1"/>
  <c r="O15" i="39"/>
  <c r="S15" i="39"/>
  <c r="S22" i="39" s="1"/>
  <c r="Q7" i="6" l="1"/>
  <c r="V6" i="6"/>
  <c r="W6" i="6" s="1"/>
  <c r="V13" i="6"/>
  <c r="F13" i="2" s="1"/>
  <c r="G13" i="2" s="1"/>
  <c r="J13" i="2" s="1"/>
  <c r="Q8" i="6"/>
  <c r="C44" i="11"/>
  <c r="V11" i="6"/>
  <c r="F11" i="2" s="1"/>
  <c r="G11" i="2" s="1"/>
  <c r="J11" i="2" s="1"/>
  <c r="V12" i="6"/>
  <c r="C12" i="2" s="1"/>
  <c r="D12" i="2" s="1"/>
  <c r="I12" i="2" s="1"/>
  <c r="V9" i="6"/>
  <c r="C10" i="2"/>
  <c r="D10" i="2" s="1"/>
  <c r="I10" i="2" s="1"/>
  <c r="W10" i="6"/>
  <c r="C43" i="11"/>
  <c r="P15" i="6"/>
  <c r="P14" i="6"/>
  <c r="F4" i="2"/>
  <c r="G4" i="2" s="1"/>
  <c r="W5" i="6"/>
  <c r="F5" i="2"/>
  <c r="G5" i="2" s="1"/>
  <c r="C5" i="2"/>
  <c r="C4" i="2"/>
  <c r="D4" i="2" s="1"/>
  <c r="W4" i="6"/>
  <c r="W8" i="6"/>
  <c r="C8" i="2"/>
  <c r="D8" i="2" s="1"/>
  <c r="I8" i="2" s="1"/>
  <c r="J8" i="2"/>
  <c r="Q22" i="39"/>
  <c r="V15" i="39"/>
  <c r="U15" i="39"/>
  <c r="O22" i="39"/>
  <c r="W7" i="6"/>
  <c r="J7" i="2"/>
  <c r="C7" i="2"/>
  <c r="D7" i="2" s="1"/>
  <c r="I7" i="2" s="1"/>
  <c r="Q15" i="6" l="1"/>
  <c r="Q14" i="6"/>
  <c r="W13" i="6"/>
  <c r="C13" i="2"/>
  <c r="D13" i="2" s="1"/>
  <c r="I13" i="2" s="1"/>
  <c r="F6" i="2"/>
  <c r="G6" i="2" s="1"/>
  <c r="J6" i="2" s="1"/>
  <c r="C6" i="2"/>
  <c r="D6" i="2" s="1"/>
  <c r="I6" i="2" s="1"/>
  <c r="C11" i="2"/>
  <c r="D11" i="2" s="1"/>
  <c r="I11" i="2" s="1"/>
  <c r="W12" i="6"/>
  <c r="V14" i="6"/>
  <c r="F12" i="2"/>
  <c r="G12" i="2" s="1"/>
  <c r="J12" i="2" s="1"/>
  <c r="W11" i="6"/>
  <c r="F9" i="2"/>
  <c r="G9" i="2" s="1"/>
  <c r="J9" i="2" s="1"/>
  <c r="C9" i="2"/>
  <c r="D9" i="2" s="1"/>
  <c r="I9" i="2" s="1"/>
  <c r="W9" i="6"/>
  <c r="V15" i="6"/>
  <c r="J17" i="2" s="1"/>
  <c r="B2" i="7" s="1"/>
  <c r="R7" i="7" s="1"/>
  <c r="D5" i="2"/>
  <c r="I5" i="2" s="1"/>
  <c r="J4" i="2"/>
  <c r="K4" i="2" s="1"/>
  <c r="L4" i="2" s="1"/>
  <c r="J5" i="2"/>
  <c r="W14" i="6" l="1"/>
  <c r="W15" i="6"/>
  <c r="F14" i="2"/>
  <c r="I7" i="7"/>
  <c r="O7" i="7"/>
  <c r="C42" i="7"/>
  <c r="L7" i="7"/>
  <c r="C7" i="7"/>
  <c r="F7" i="7"/>
  <c r="C26" i="7"/>
  <c r="C14" i="2"/>
  <c r="K5" i="2"/>
  <c r="J18" i="2"/>
  <c r="I4" i="2"/>
  <c r="I14" i="2" s="1"/>
  <c r="J21" i="2" s="1"/>
  <c r="G14" i="2"/>
  <c r="J19" i="2"/>
  <c r="D14" i="2"/>
  <c r="J14" i="2" l="1"/>
  <c r="J22" i="2" s="1"/>
  <c r="K6" i="2" l="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6" authorId="0" shapeId="0" xr:uid="{00000000-0006-0000-0000-000001000000}">
      <text>
        <r>
          <rPr>
            <b/>
            <sz val="9"/>
            <color rgb="FF000000"/>
            <rFont val="Segoe UI"/>
            <family val="2"/>
            <charset val="1"/>
          </rPr>
          <t>Autor:</t>
        </r>
        <r>
          <rPr>
            <sz val="9"/>
            <color rgb="FF000000"/>
            <rFont val="Segoe UI"/>
            <family val="2"/>
            <charset val="1"/>
          </rPr>
          <t xml:space="preserve">
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 authorId="0" shapeId="0" xr:uid="{00000000-0006-0000-0F00-000001000000}">
      <text>
        <r>
          <rPr>
            <b/>
            <sz val="9"/>
            <color indexed="81"/>
            <rFont val="Segoe UI"/>
            <family val="2"/>
          </rPr>
          <t>Autor:</t>
        </r>
        <r>
          <rPr>
            <sz val="9"/>
            <color indexed="81"/>
            <rFont val="Segoe UI"/>
            <family val="2"/>
          </rPr>
          <t xml:space="preserve">
V tejto záložke je potrebné transformvoať odhadovnú prácnosť projektu na jednotlivé etapy projektu:
 - analýza a dizajn
 - implementácia a testovanie
 - nasadenie
Rovnako je potrebné definovať pozície, ktoré sa na projekte budú podieľať.
Počty MDs pre dané pozície sú vypočítané z celkovej predpokladanej náročnosti projektu * % podielu danej etapy na projekte * % podiel pozície na danej etape projektu</t>
        </r>
      </text>
    </comment>
    <comment ref="B3" authorId="0" shapeId="0" xr:uid="{00000000-0006-0000-0F00-000002000000}">
      <text>
        <r>
          <rPr>
            <b/>
            <sz val="9"/>
            <color indexed="81"/>
            <rFont val="Segoe UI"/>
            <family val="2"/>
          </rPr>
          <t>Autor:</t>
        </r>
        <r>
          <rPr>
            <sz val="9"/>
            <color indexed="81"/>
            <rFont val="Segoe UI"/>
            <family val="2"/>
          </rPr>
          <t xml:space="preserve">
Možné zadať % hodnoty pre danú etapu projektu vyjadrené v % z celkového počtu potrebných kapacít
Celková hodnota za všetky etapy projektu musí byť 100%. V opačnom prípade budú hodnoty zvýrazené červenou</t>
        </r>
      </text>
    </comment>
    <comment ref="E3" authorId="0" shapeId="0" xr:uid="{00000000-0006-0000-0F00-000003000000}">
      <text>
        <r>
          <rPr>
            <b/>
            <sz val="9"/>
            <color indexed="81"/>
            <rFont val="Segoe UI"/>
            <family val="2"/>
          </rPr>
          <t>Autor:</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indexed="81"/>
            <rFont val="Segoe UI"/>
            <family val="2"/>
          </rPr>
          <t>Autor:</t>
        </r>
        <r>
          <rPr>
            <sz val="9"/>
            <color indexed="81"/>
            <rFont val="Segoe UI"/>
            <family val="2"/>
          </rPr>
          <t xml:space="preserve">
Je potrebné vybrať pozície, ktoré sa na danej etape budú podieľať. Výber je z preddefinovaného číselníka pozícií.</t>
        </r>
      </text>
    </comment>
    <comment ref="J3" authorId="0" shapeId="0" xr:uid="{00000000-0006-0000-0F00-000005000000}">
      <text>
        <r>
          <rPr>
            <b/>
            <sz val="9"/>
            <color indexed="81"/>
            <rFont val="Segoe UI"/>
            <family val="2"/>
          </rPr>
          <t>Autor:</t>
        </r>
        <r>
          <rPr>
            <sz val="9"/>
            <color indexed="81"/>
            <rFont val="Segoe UI"/>
            <family val="2"/>
          </rPr>
          <t xml:space="preserve">
Je potrebné stanoviť %, ktorým bude participovať daná pozícia na etape. Suma % za všetky pozície na danej etape musí byť 100%.
V opačnom prípade budú hodnoty označené červenou farbou</t>
        </r>
      </text>
    </comment>
    <comment ref="Q3" authorId="0" shapeId="0" xr:uid="{00000000-0006-0000-0F00-000006000000}">
      <text>
        <r>
          <rPr>
            <b/>
            <sz val="9"/>
            <color rgb="FF000000"/>
            <rFont val="Segoe UI"/>
            <family val="2"/>
            <charset val="1"/>
          </rPr>
          <t>Autor:</t>
        </r>
        <r>
          <rPr>
            <sz val="9"/>
            <color rgb="FF000000"/>
            <rFont val="Segoe UI"/>
            <family val="2"/>
            <charset val="1"/>
          </rPr>
          <t xml:space="preserve">
Číselník pozícií je možné doplniť o špecifické pozície a zladiť ak je to možné s dokumentom revízie výdavkov na informatizáciu</t>
        </r>
      </text>
    </comment>
    <comment ref="R3" authorId="0" shapeId="0" xr:uid="{00000000-0006-0000-0F00-000007000000}">
      <text>
        <r>
          <rPr>
            <b/>
            <sz val="9"/>
            <color rgb="FF000000"/>
            <rFont val="Segoe UI"/>
            <family val="2"/>
            <charset val="1"/>
          </rPr>
          <t>Autor:</t>
        </r>
        <r>
          <rPr>
            <sz val="9"/>
            <color rgb="FF000000"/>
            <rFont val="Segoe UI"/>
            <family val="2"/>
            <charset val="1"/>
          </rPr>
          <t xml:space="preserve">
Je potrebné stanoviť predpokladanú hodnotu sadzby pre danú pozíciu. Hodnota nesmie prekročiť referenčný limit pre niektoré pozície stanovaný revíziou výdavkov na informatizáciu resp. musí splniť pravidlá stanovené metodickým pokynom pre CBA.
V opačnom prípade je zvýrazená oranžovou farbou.</t>
        </r>
      </text>
    </comment>
    <comment ref="W3" authorId="0" shapeId="0" xr:uid="{00000000-0006-0000-0F00-000008000000}">
      <text>
        <r>
          <rPr>
            <b/>
            <sz val="9"/>
            <color indexed="81"/>
            <rFont val="Segoe UI"/>
            <family val="2"/>
          </rPr>
          <t>Autor:</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Autor:</t>
        </r>
        <r>
          <rPr>
            <sz val="9"/>
            <color rgb="FF000000"/>
            <rFont val="Segoe UI"/>
            <family val="2"/>
            <charset val="1"/>
          </rPr>
          <t xml:space="preserve">
10% - 35%</t>
        </r>
      </text>
    </comment>
    <comment ref="B16" authorId="0" shapeId="0" xr:uid="{00000000-0006-0000-0F00-00000A000000}">
      <text>
        <r>
          <rPr>
            <b/>
            <sz val="9"/>
            <color rgb="FF000000"/>
            <rFont val="Segoe UI"/>
            <family val="2"/>
            <charset val="1"/>
          </rPr>
          <t>Autor:</t>
        </r>
        <r>
          <rPr>
            <sz val="9"/>
            <color rgb="FF000000"/>
            <rFont val="Segoe UI"/>
            <family val="2"/>
            <charset val="1"/>
          </rPr>
          <t xml:space="preserve">
30% - 80%</t>
        </r>
      </text>
    </comment>
    <comment ref="B28" authorId="0" shapeId="0" xr:uid="{00000000-0006-0000-0F00-00000B000000}">
      <text>
        <r>
          <rPr>
            <b/>
            <sz val="9"/>
            <color rgb="FF000000"/>
            <rFont val="Segoe UI"/>
            <family val="2"/>
            <charset val="1"/>
          </rPr>
          <t>Autor:</t>
        </r>
        <r>
          <rPr>
            <sz val="9"/>
            <color rgb="FF000000"/>
            <rFont val="Segoe UI"/>
            <family val="2"/>
            <charset val="1"/>
          </rPr>
          <t xml:space="preserve">
15% - 30%</t>
        </r>
      </text>
    </comment>
    <comment ref="B40" authorId="0" shapeId="0" xr:uid="{00000000-0006-0000-0F00-00000C000000}">
      <text>
        <r>
          <rPr>
            <b/>
            <sz val="9"/>
            <color rgb="FF000000"/>
            <rFont val="Segoe UI"/>
            <family val="2"/>
            <charset val="1"/>
          </rPr>
          <t>Autor:</t>
        </r>
        <r>
          <rPr>
            <sz val="9"/>
            <color rgb="FF000000"/>
            <rFont val="Segoe UI"/>
            <family val="2"/>
            <charset val="1"/>
          </rPr>
          <t xml:space="preserve">
Je potrebné stanoviť dĺžku trvania danej podpornej oblasti projektu, pričom následne sa táto hodnota využije na definovanie počtu MDs pre danú pozíciu na oblasti.</t>
        </r>
      </text>
    </comment>
    <comment ref="F40" authorId="0" shapeId="0" xr:uid="{00000000-0006-0000-0F00-00000D000000}">
      <text>
        <r>
          <rPr>
            <b/>
            <sz val="9"/>
            <color indexed="81"/>
            <rFont val="Segoe UI"/>
            <family val="2"/>
          </rPr>
          <t>Autor:</t>
        </r>
        <r>
          <rPr>
            <sz val="9"/>
            <color indexed="81"/>
            <rFont val="Segoe UI"/>
            <family val="2"/>
          </rPr>
          <t xml:space="preserve">
Je potrebné vybrať pozície, ktoré sa na danej podpornej oblasti budú podieľať. Výber je z preddefinovaného číselníka pozícií.</t>
        </r>
      </text>
    </comment>
    <comment ref="J40" authorId="0" shapeId="0" xr:uid="{00000000-0006-0000-0F00-00000E000000}">
      <text>
        <r>
          <rPr>
            <b/>
            <sz val="9"/>
            <color indexed="81"/>
            <rFont val="Segoe UI"/>
            <family val="2"/>
          </rPr>
          <t>Autor:</t>
        </r>
        <r>
          <rPr>
            <sz val="9"/>
            <color indexed="81"/>
            <rFont val="Segoe UI"/>
            <family val="2"/>
          </rPr>
          <t xml:space="preserve">
Jedná sa o stanovenie alokácie danej pozície na podpornej oblasti vyjadrenej FTE (full time equvivalent)
Ak požadujem napr.:
 - 1 PM IT projektu aby sa venoval riadeniu na 50%, tak v bunke sa uvedie hodnota 0,5.
 - 2 Finančných manažérov, pričom jeden bude FULL TIME a druhý na 50%, počas trvania podpornej oblasti,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Q1" authorId="0" shapeId="0" xr:uid="{00000000-0006-0000-1000-000001000000}">
      <text>
        <r>
          <rPr>
            <b/>
            <sz val="9"/>
            <color indexed="81"/>
            <rFont val="Segoe UI"/>
            <family val="2"/>
          </rPr>
          <t>Autor:</t>
        </r>
        <r>
          <rPr>
            <sz val="9"/>
            <color indexed="81"/>
            <rFont val="Segoe UI"/>
            <family val="2"/>
          </rPr>
          <t xml:space="preserve">
Potrebné určiť hodnotu odvodoveho koeficientu zamestnávateľa - napr. 0,3595 (ak neprispieva do garančného fondu), alebo 0,362 (ak prispieva do garančného fondu), alebo iné - podľa typu zamestnaneckého pomeru</t>
        </r>
      </text>
    </comment>
    <comment ref="Q2" authorId="0" shapeId="0" xr:uid="{00000000-0006-0000-1000-000002000000}">
      <text>
        <r>
          <rPr>
            <b/>
            <sz val="9"/>
            <color rgb="FF000000"/>
            <rFont val="Segoe UI"/>
            <family val="2"/>
            <charset val="1"/>
          </rPr>
          <t>Autor:</t>
        </r>
        <r>
          <rPr>
            <sz val="9"/>
            <color rgb="FF000000"/>
            <rFont val="Segoe UI"/>
            <family val="2"/>
            <charset val="1"/>
          </rPr>
          <t xml:space="preserve">
Je možné stanoviť % odmeny z hrubej mzdy.
V prípade projektov z PSK sú odmeny súčasťou maximálnej hod. sadzby (nie je možné využiť túto formu uplatnenia). 
Hodnota by nemala vybočovať s štandardov v danej organizácií pre obdobné pozície. 
</t>
        </r>
      </text>
    </comment>
    <comment ref="A3" authorId="0" shapeId="0" xr:uid="{00000000-0006-0000-1000-000003000000}">
      <text>
        <r>
          <rPr>
            <b/>
            <sz val="9"/>
            <color indexed="81"/>
            <rFont val="Segoe UI"/>
            <family val="2"/>
          </rPr>
          <t>Autor:</t>
        </r>
        <r>
          <rPr>
            <sz val="9"/>
            <color indexed="81"/>
            <rFont val="Segoe UI"/>
            <family val="2"/>
          </rPr>
          <t xml:space="preserve">
V tejto záložke má možnosť klient naplánovať interné zdroje na projekt, pričom sa jedná o pridelenie pozícií k danej etape projektu alebo podpornej oblasti projektu a stanovenie ich utilizácie na danej etape alebo oblasti.</t>
        </r>
      </text>
    </comment>
    <comment ref="B3" authorId="0" shapeId="0" xr:uid="{00000000-0006-0000-1000-000004000000}">
      <text>
        <r>
          <rPr>
            <b/>
            <sz val="9"/>
            <color rgb="FF000000"/>
            <rFont val="Segoe UI"/>
            <family val="2"/>
            <charset val="1"/>
          </rPr>
          <t>Autor:</t>
        </r>
        <r>
          <rPr>
            <sz val="9"/>
            <color rgb="FF000000"/>
            <rFont val="Segoe UI"/>
            <family val="2"/>
            <charset val="1"/>
          </rPr>
          <t xml:space="preserve">
Je potrebné stanoviť dĺžku trvania danej etapy projektu alebo podpornej oblasti projektu, pričom následne sa táto hodnota využije na definovanie počtu MDs pre danú pozíciu na etape alebo oblasti.</t>
        </r>
      </text>
    </comment>
    <comment ref="C3" authorId="0" shapeId="0" xr:uid="{00000000-0006-0000-1000-000005000000}">
      <text>
        <r>
          <rPr>
            <b/>
            <sz val="9"/>
            <color rgb="FF000000"/>
            <rFont val="Segoe UI"/>
            <family val="2"/>
            <charset val="1"/>
          </rPr>
          <t>Autor:</t>
        </r>
        <r>
          <rPr>
            <sz val="9"/>
            <color rgb="FF000000"/>
            <rFont val="Segoe UI"/>
            <family val="2"/>
            <charset val="1"/>
          </rPr>
          <t xml:space="preserve">
Ide o sumár počtu MDs pre danú etapu projektu alebo podpornú oblasť projektu za všetky pozície</t>
        </r>
      </text>
    </comment>
    <comment ref="D3" authorId="0" shapeId="0" xr:uid="{00000000-0006-0000-1000-000006000000}">
      <text>
        <r>
          <rPr>
            <b/>
            <sz val="9"/>
            <color rgb="FF000000"/>
            <rFont val="Segoe UI"/>
            <family val="2"/>
            <charset val="1"/>
          </rPr>
          <t>Autor:</t>
        </r>
        <r>
          <rPr>
            <sz val="9"/>
            <color rgb="FF000000"/>
            <rFont val="Segoe UI"/>
            <family val="2"/>
            <charset val="1"/>
          </rPr>
          <t xml:space="preserve">
Táto hodnota sa použie na rozloženie nákladov na moduly v záložke Rozpočet - vyvoj aplikácie</t>
        </r>
      </text>
    </comment>
    <comment ref="E3" authorId="0" shapeId="0" xr:uid="{00000000-0006-0000-1000-000007000000}">
      <text>
        <r>
          <rPr>
            <b/>
            <sz val="9"/>
            <color rgb="FF000000"/>
            <rFont val="Segoe UI"/>
            <family val="2"/>
            <charset val="1"/>
          </rPr>
          <t>Autor:</t>
        </r>
        <r>
          <rPr>
            <sz val="9"/>
            <color rgb="FF000000"/>
            <rFont val="Segoe UI"/>
            <family val="2"/>
            <charset val="1"/>
          </rPr>
          <t xml:space="preserve">
Je potrebné vybrať pozície, ktoré sa na danej etape projektu alebo podpornej oblasti projektu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Autor:</t>
        </r>
        <r>
          <rPr>
            <sz val="9"/>
            <color rgb="FF000000"/>
            <rFont val="Segoe UI"/>
            <family val="2"/>
            <charset val="1"/>
          </rPr>
          <t xml:space="preserve">
Jedná sa o stanovenie alokácie danej pozície na etape projektu alebo podpornej oblasti projektu vyjadrenej v honote % z jej 100% pracovnej náplne.
Ak mám napr. IT architekta a chcem aby sa podieľal na analýze svojimi 30 % tak uvedená hodnota bude 30%</t>
        </r>
      </text>
    </comment>
    <comment ref="G3" authorId="0" shapeId="0" xr:uid="{00000000-0006-0000-1000-000009000000}">
      <text>
        <r>
          <rPr>
            <b/>
            <sz val="9"/>
            <color indexed="81"/>
            <rFont val="Segoe UI"/>
            <family val="2"/>
          </rPr>
          <t>Autor:</t>
        </r>
        <r>
          <rPr>
            <sz val="9"/>
            <color indexed="81"/>
            <rFont val="Segoe UI"/>
            <family val="2"/>
          </rPr>
          <t xml:space="preserve">
Jedná sa o počet MDs danej pozície na etape projektu alebo podpornej oblasti projektu, vypočítanej ako počet pozícií * trvanie etapy alebo oblasti * % utilizácie na projekte * 20 dní v mesiaci</t>
        </r>
      </text>
    </comment>
    <comment ref="M3" authorId="0" shapeId="0" xr:uid="{00000000-0006-0000-1000-00000A000000}">
      <text>
        <r>
          <rPr>
            <b/>
            <sz val="9"/>
            <color indexed="81"/>
            <rFont val="Segoe UI"/>
            <family val="2"/>
          </rPr>
          <t>Autor:</t>
        </r>
        <r>
          <rPr>
            <sz val="9"/>
            <color indexed="81"/>
            <rFont val="Segoe UI"/>
            <family val="2"/>
          </rPr>
          <t xml:space="preserve">
Jedná sa o preddefinovaný číselník pozícií, ktorý je možné doplniť v prípade potreby o špecifické pozície</t>
        </r>
      </text>
    </comment>
    <comment ref="O3" authorId="0" shapeId="0" xr:uid="{00000000-0006-0000-1000-00000B000000}">
      <text>
        <r>
          <rPr>
            <b/>
            <sz val="9"/>
            <color indexed="81"/>
            <rFont val="Segoe UI"/>
            <family val="2"/>
          </rPr>
          <t>Autor:</t>
        </r>
        <r>
          <rPr>
            <sz val="9"/>
            <color indexed="81"/>
            <rFont val="Segoe UI"/>
            <family val="2"/>
          </rPr>
          <t xml:space="preserve">
Jedná sa o stanovenie počtu pozícii, ktoré na projekte budú participovať. Napr. budeme mať 2 Analytikov a 1 IT Architekta</t>
        </r>
      </text>
    </comment>
    <comment ref="P3" authorId="0" shapeId="0" xr:uid="{00000000-0006-0000-1000-00000C000000}">
      <text>
        <r>
          <rPr>
            <b/>
            <sz val="9"/>
            <color indexed="81"/>
            <rFont val="Segoe UI"/>
            <family val="2"/>
          </rPr>
          <t>Autor:</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EŠIF projekty.</t>
        </r>
      </text>
    </comment>
    <comment ref="U3" authorId="0" shapeId="0" xr:uid="{00000000-0006-0000-1000-00000D000000}">
      <text>
        <r>
          <rPr>
            <b/>
            <sz val="9"/>
            <color indexed="81"/>
            <rFont val="Segoe UI"/>
            <family val="2"/>
          </rPr>
          <t>Autor:</t>
        </r>
        <r>
          <rPr>
            <sz val="9"/>
            <color indexed="81"/>
            <rFont val="Segoe UI"/>
            <family val="2"/>
          </rPr>
          <t xml:space="preserve">
Jedná sa o maximálnu možnú sadzbu v zmysle príručky pre žiadateľov PSK, ktorá je nasledovná:
 - hlavné etapy
       - 25€/hodina - hrubá mzda (vrátane prípadnej odmeny)
 - podporne oblasti - odporúčaná max 15 €/hodina - hrubá mzda (pri projektoch mimo PSK). Pri projektoch PSK sú uplatňované paušálne výdavky.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 authorId="0" shapeId="0" xr:uid="{00000000-0006-0000-1100-000001000000}">
      <text>
        <r>
          <rPr>
            <b/>
            <sz val="9"/>
            <color indexed="81"/>
            <rFont val="Segoe UI"/>
            <family val="2"/>
          </rPr>
          <t>Autor:</t>
        </r>
        <r>
          <rPr>
            <sz val="9"/>
            <color indexed="81"/>
            <rFont val="Segoe UI"/>
            <family val="2"/>
          </rPr>
          <t xml:space="preserve">
Je potrebné vybrať modul, pre ktorý boli definované náklady na vývoj aplikácie. 
Každý modul je potrebné priradiť ku všetkým etapám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Autor:</t>
        </r>
        <r>
          <rPr>
            <sz val="9"/>
            <color indexed="81"/>
            <rFont val="Segoe UI"/>
            <family val="2"/>
          </rPr>
          <t xml:space="preserve">
V prípade potreby možno doplniť detailizáciu pre daný modul a danú etapu</t>
        </r>
      </text>
    </comment>
    <comment ref="K2" authorId="0" shapeId="0" xr:uid="{00000000-0006-0000-1100-000003000000}">
      <text>
        <r>
          <rPr>
            <b/>
            <sz val="9"/>
            <color rgb="FF000000"/>
            <rFont val="Segoe UI"/>
            <family val="2"/>
            <charset val="1"/>
          </rPr>
          <t>Autor:</t>
        </r>
        <r>
          <rPr>
            <sz val="9"/>
            <color rgb="FF000000"/>
            <rFont val="Segoe UI"/>
            <family val="2"/>
            <charset val="1"/>
          </rPr>
          <t xml:space="preserve">
Náklady sú následne transformované do záložky TCO TO BE - SW do časti vývoj aplikácií</t>
        </r>
      </text>
    </comment>
    <comment ref="L2" authorId="0" shapeId="0" xr:uid="{00000000-0006-0000-1100-000004000000}">
      <text>
        <r>
          <rPr>
            <b/>
            <sz val="9"/>
            <color indexed="81"/>
            <rFont val="Segoe UI"/>
            <family val="2"/>
          </rPr>
          <t>Autor:</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2" authorId="0" shapeId="0" xr:uid="{00000000-0006-0000-1300-000001000000}">
      <text>
        <r>
          <rPr>
            <b/>
            <sz val="9"/>
            <color indexed="81"/>
            <rFont val="Segoe UI"/>
            <family val="2"/>
          </rPr>
          <t>Autor:</t>
        </r>
        <r>
          <rPr>
            <sz val="9"/>
            <color indexed="81"/>
            <rFont val="Segoe UI"/>
            <family val="2"/>
          </rPr>
          <t xml:space="preserve">
Pre každú zadefinovanú položku je potrebné stanoviť aj modul, pre ktorý je daná položka plánovaná.</t>
        </r>
      </text>
    </comment>
    <comment ref="B2" authorId="0" shapeId="0" xr:uid="{00000000-0006-0000-1300-000002000000}">
      <text>
        <r>
          <rPr>
            <b/>
            <sz val="9"/>
            <color indexed="81"/>
            <rFont val="Segoe UI"/>
            <family val="2"/>
          </rPr>
          <t>Autor:</t>
        </r>
        <r>
          <rPr>
            <sz val="9"/>
            <color indexed="81"/>
            <rFont val="Segoe UI"/>
            <family val="2"/>
          </rPr>
          <t xml:space="preserve">
Potrebné pomenovať položku, ktorá bude predmetom dodávky</t>
        </r>
      </text>
    </comment>
    <comment ref="C2" authorId="0" shapeId="0" xr:uid="{00000000-0006-0000-1300-000003000000}">
      <text>
        <r>
          <rPr>
            <b/>
            <sz val="9"/>
            <color indexed="81"/>
            <rFont val="Segoe UI"/>
            <family val="2"/>
          </rPr>
          <t>Autor:</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300-000004000000}">
      <text>
        <r>
          <rPr>
            <b/>
            <sz val="9"/>
            <color indexed="81"/>
            <rFont val="Segoe UI"/>
            <family val="2"/>
          </rPr>
          <t>Autor:</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300-000005000000}">
      <text>
        <r>
          <rPr>
            <b/>
            <sz val="9"/>
            <color indexed="81"/>
            <rFont val="Segoe UI"/>
            <family val="2"/>
          </rPr>
          <t>Autor:</t>
        </r>
        <r>
          <rPr>
            <sz val="9"/>
            <color indexed="81"/>
            <rFont val="Segoe UI"/>
            <family val="2"/>
          </rPr>
          <t xml:space="preserve">
Predstavuje mernú jednotku pre danú položku - väčšinou sa jedná o takú jednotku na ktorú je viazaná cenotvorba</t>
        </r>
      </text>
    </comment>
    <comment ref="F2" authorId="0" shapeId="0" xr:uid="{00000000-0006-0000-1300-000006000000}">
      <text>
        <r>
          <rPr>
            <b/>
            <sz val="9"/>
            <color indexed="81"/>
            <rFont val="Segoe UI"/>
            <family val="2"/>
          </rPr>
          <t>Autor:</t>
        </r>
        <r>
          <rPr>
            <sz val="9"/>
            <color indexed="81"/>
            <rFont val="Segoe UI"/>
            <family val="2"/>
          </rPr>
          <t xml:space="preserve">
Stanovíte počet jednotiek danej položky</t>
        </r>
      </text>
    </comment>
    <comment ref="G2" authorId="0" shapeId="0" xr:uid="{00000000-0006-0000-1300-000007000000}">
      <text>
        <r>
          <rPr>
            <b/>
            <sz val="9"/>
            <color indexed="81"/>
            <rFont val="Segoe UI"/>
            <family val="2"/>
          </rPr>
          <t>Autor:</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300-000008000000}">
      <text>
        <r>
          <rPr>
            <b/>
            <sz val="9"/>
            <color indexed="81"/>
            <rFont val="Segoe UI"/>
            <family val="2"/>
          </rPr>
          <t>Autor:</t>
        </r>
        <r>
          <rPr>
            <sz val="9"/>
            <color indexed="81"/>
            <rFont val="Segoe UI"/>
            <family val="2"/>
          </rPr>
          <t xml:space="preserve">
Jedná sa o stanovenie jednotkovej ceny danej položky, ktorá vstupuje do celkových nákladov danej položky</t>
        </r>
      </text>
    </comment>
    <comment ref="J2" authorId="0" shapeId="0" xr:uid="{00000000-0006-0000-1300-000009000000}">
      <text>
        <r>
          <rPr>
            <b/>
            <sz val="9"/>
            <color indexed="81"/>
            <rFont val="Segoe UI"/>
            <family val="2"/>
          </rPr>
          <t>Autor:</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 authorId="0" shapeId="0" xr:uid="{00000000-0006-0000-1400-000001000000}">
      <text>
        <r>
          <rPr>
            <b/>
            <sz val="9"/>
            <color indexed="81"/>
            <rFont val="Segoe UI"/>
            <family val="2"/>
          </rPr>
          <t>Autor:</t>
        </r>
        <r>
          <rPr>
            <sz val="9"/>
            <color indexed="81"/>
            <rFont val="Segoe UI"/>
            <family val="2"/>
          </rPr>
          <t xml:space="preserve">
Táto záložka slúži na vytvorenie relatívne rýchleho harmonogramu projektu cez mesiace trvania etáp a jeho gantovej podoby.
V prvom momente je potrebné vybrať moduly pre ktoré sa harmonogram tvorí.</t>
        </r>
      </text>
    </comment>
    <comment ref="D2" authorId="0" shapeId="0" xr:uid="{00000000-0006-0000-1400-000002000000}">
      <text>
        <r>
          <rPr>
            <b/>
            <sz val="9"/>
            <color indexed="81"/>
            <rFont val="Segoe UI"/>
            <family val="2"/>
          </rPr>
          <t>Autor:</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Autor:</t>
        </r>
        <r>
          <rPr>
            <sz val="9"/>
            <color indexed="81"/>
            <rFont val="Segoe UI"/>
            <family val="2"/>
          </rPr>
          <t xml:space="preserve">
Pre každý inkrement sa stanoví začiatočný mesiac inkrementu z pohľadu celého projektu.
Pre daľšie etapy projektu je potrebné zvoliť ich začiatočný mesiac (od začiatku projektu)</t>
        </r>
      </text>
    </comment>
    <comment ref="H2" authorId="0" shapeId="0" xr:uid="{00000000-0006-0000-1400-000004000000}">
      <text>
        <r>
          <rPr>
            <b/>
            <sz val="9"/>
            <color indexed="81"/>
            <rFont val="Segoe UI"/>
            <family val="2"/>
          </rPr>
          <t>Autor:</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Autor:</t>
        </r>
        <r>
          <rPr>
            <sz val="9"/>
            <color indexed="81"/>
            <rFont val="Segoe UI"/>
            <family val="2"/>
          </rPr>
          <t xml:space="preserve">
Pre každú etapu projektu (orekm poslednej - ta je dopočítaná automaticky) je ptorebné stanoviť dobu trvania v mesiacoch.</t>
        </r>
      </text>
    </comment>
    <comment ref="J2" authorId="0" shapeId="0" xr:uid="{00000000-0006-0000-1400-000006000000}">
      <text>
        <r>
          <rPr>
            <b/>
            <sz val="9"/>
            <color indexed="81"/>
            <rFont val="Segoe UI"/>
            <family val="2"/>
          </rPr>
          <t>Autor:</t>
        </r>
        <r>
          <rPr>
            <sz val="9"/>
            <color indexed="81"/>
            <rFont val="Segoe UI"/>
            <family val="2"/>
          </rPr>
          <t xml:space="preserve">
Koniec danej etapy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6" authorId="0" shapeId="0" xr:uid="{00000000-0006-0000-1800-000001000000}">
      <text>
        <r>
          <rPr>
            <b/>
            <sz val="9"/>
            <color indexed="81"/>
            <rFont val="Segoe UI"/>
            <family val="2"/>
          </rPr>
          <t>Autor:</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800-000002000000}">
      <text>
        <r>
          <rPr>
            <b/>
            <sz val="9"/>
            <color indexed="81"/>
            <rFont val="Segoe UI"/>
            <family val="2"/>
          </rPr>
          <t>Autor:</t>
        </r>
        <r>
          <rPr>
            <sz val="9"/>
            <color indexed="81"/>
            <rFont val="Segoe UI"/>
            <family val="2"/>
          </rPr>
          <t xml:space="preserve">
Túto sekciu je potrebné vyplniť v prípade potreby manuálne</t>
        </r>
      </text>
    </comment>
    <comment ref="A26" authorId="0" shapeId="0" xr:uid="{00000000-0006-0000-1800-000003000000}">
      <text>
        <r>
          <rPr>
            <b/>
            <sz val="9"/>
            <color indexed="81"/>
            <rFont val="Segoe UI"/>
            <family val="2"/>
          </rPr>
          <t>Autor:</t>
        </r>
        <r>
          <rPr>
            <sz val="9"/>
            <color indexed="81"/>
            <rFont val="Segoe UI"/>
            <family val="2"/>
          </rPr>
          <t xml:space="preserve">
Túto sekciu je potrebné vyplniť v prípade potreby manuálne</t>
        </r>
      </text>
    </comment>
    <comment ref="A37" authorId="0" shapeId="0" xr:uid="{00000000-0006-0000-1800-000004000000}">
      <text>
        <r>
          <rPr>
            <b/>
            <sz val="9"/>
            <color indexed="81"/>
            <rFont val="Segoe UI"/>
            <family val="2"/>
          </rPr>
          <t>Autor:</t>
        </r>
        <r>
          <rPr>
            <sz val="9"/>
            <color indexed="81"/>
            <rFont val="Segoe UI"/>
            <family val="2"/>
          </rPr>
          <t xml:space="preserve">
Do tejto sekcie sa pre jednotlivé moduly transformujú náklady z Rozpocet - Vyvoj aplikacii, pričom sú kalkulované v roku, kedy končí inkrement, do ktorého je modul zaradený</t>
        </r>
      </text>
    </comment>
    <comment ref="A47" authorId="0" shapeId="0" xr:uid="{00000000-0006-0000-1800-000005000000}">
      <text>
        <r>
          <rPr>
            <b/>
            <sz val="9"/>
            <color indexed="81"/>
            <rFont val="Segoe UI"/>
            <family val="2"/>
          </rPr>
          <t>Autor:</t>
        </r>
        <r>
          <rPr>
            <sz val="9"/>
            <color indexed="81"/>
            <rFont val="Segoe UI"/>
            <family val="2"/>
          </rPr>
          <t xml:space="preserve">
Túto sekciu je potrebné vyplniť v prípade potreby manuálne</t>
        </r>
      </text>
    </comment>
    <comment ref="A57" authorId="0" shapeId="0" xr:uid="{00000000-0006-0000-1800-000006000000}">
      <text>
        <r>
          <rPr>
            <b/>
            <sz val="9"/>
            <color indexed="81"/>
            <rFont val="Segoe UI"/>
            <family val="2"/>
          </rPr>
          <t>Autor:</t>
        </r>
        <r>
          <rPr>
            <sz val="9"/>
            <color indexed="81"/>
            <rFont val="Segoe UI"/>
            <family val="2"/>
          </rPr>
          <t xml:space="preserve">
Do tejto seckcie sa transformujú náklady definované v časti POZICIE_INTERNE a to z hlavných etapách (Analýa a dizajn, Implementácia a nasadenie, Testovanie).
Rovnako sú kalkulované do roku ukončenia príslušného inkrementu.</t>
        </r>
      </text>
    </comment>
    <comment ref="A67" authorId="0" shapeId="0" xr:uid="{00000000-0006-0000-1800-000007000000}">
      <text>
        <r>
          <rPr>
            <b/>
            <sz val="9"/>
            <color rgb="FF000000"/>
            <rFont val="Segoe UI"/>
            <family val="2"/>
            <charset val="1"/>
          </rPr>
          <t>Autor:</t>
        </r>
        <r>
          <rPr>
            <sz val="9"/>
            <color rgb="FF000000"/>
            <rFont val="Segoe UI"/>
            <family val="2"/>
            <charset val="1"/>
          </rPr>
          <t xml:space="preserve">
Túto sekciu je potrebné vyplniť v prípade potreby manuálne</t>
        </r>
      </text>
    </comment>
    <comment ref="A79" authorId="0" shapeId="0" xr:uid="{00000000-0006-0000-1800-000008000000}">
      <text>
        <r>
          <rPr>
            <b/>
            <sz val="9"/>
            <color indexed="81"/>
            <rFont val="Segoe UI"/>
            <family val="2"/>
          </rPr>
          <t>Autor:</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800-000009000000}">
      <text>
        <r>
          <rPr>
            <b/>
            <sz val="9"/>
            <color indexed="81"/>
            <rFont val="Segoe UI"/>
            <family val="2"/>
          </rPr>
          <t>Autor:</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800-00000A000000}">
      <text>
        <r>
          <rPr>
            <b/>
            <sz val="9"/>
            <color indexed="81"/>
            <rFont val="Segoe UI"/>
            <family val="2"/>
          </rPr>
          <t>Autor:</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800-00000B000000}">
      <text>
        <r>
          <rPr>
            <b/>
            <sz val="9"/>
            <color indexed="81"/>
            <rFont val="Segoe UI"/>
            <family val="2"/>
          </rPr>
          <t>Autor:</t>
        </r>
        <r>
          <rPr>
            <sz val="9"/>
            <color indexed="81"/>
            <rFont val="Segoe UI"/>
            <family val="2"/>
          </rPr>
          <t xml:space="preserve">
Túto sekciu je potrebné vyplniť v prípade potreby manuálne</t>
        </r>
      </text>
    </comment>
    <comment ref="A120" authorId="0" shapeId="0" xr:uid="{00000000-0006-0000-1800-00000C000000}">
      <text>
        <r>
          <rPr>
            <b/>
            <sz val="9"/>
            <color indexed="81"/>
            <rFont val="Segoe UI"/>
            <family val="2"/>
          </rPr>
          <t>Autor:</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800-00000D000000}">
      <text>
        <r>
          <rPr>
            <b/>
            <sz val="9"/>
            <color indexed="81"/>
            <rFont val="Segoe UI"/>
            <family val="2"/>
          </rPr>
          <t>Autor:</t>
        </r>
        <r>
          <rPr>
            <sz val="9"/>
            <color indexed="81"/>
            <rFont val="Segoe UI"/>
            <family val="2"/>
          </rPr>
          <t xml:space="preserve">
Túto sekciu je potrebné vyplniť v prípade potreby manuálne</t>
        </r>
      </text>
    </comment>
    <comment ref="A140" authorId="0" shapeId="0" xr:uid="{00000000-0006-0000-1800-00000E000000}">
      <text>
        <r>
          <rPr>
            <b/>
            <sz val="9"/>
            <color indexed="81"/>
            <rFont val="Segoe UI"/>
            <family val="2"/>
          </rPr>
          <t>Autor:</t>
        </r>
        <r>
          <rPr>
            <sz val="9"/>
            <color indexed="81"/>
            <rFont val="Segoe UI"/>
            <family val="2"/>
          </rPr>
          <t xml:space="preserve">
Túto sekciu je potrebné vyplniť v prípade potreby manuálne</t>
        </r>
      </text>
    </comment>
    <comment ref="A151" authorId="0" shapeId="0" xr:uid="{00000000-0006-0000-1800-00000F000000}">
      <text>
        <r>
          <rPr>
            <b/>
            <sz val="9"/>
            <color indexed="81"/>
            <rFont val="Segoe UI"/>
            <family val="2"/>
          </rPr>
          <t>Autor:</t>
        </r>
        <r>
          <rPr>
            <sz val="9"/>
            <color indexed="81"/>
            <rFont val="Segoe UI"/>
            <family val="2"/>
          </rPr>
          <t xml:space="preserve">
Táto sekcia je predvyplnená na základe údajov uvedených v záložke POZICIE_INTERNE z podpornej oblasti projektové riadenie.
Náklady sú kalkulované na základe váh jednotlivých modulov ako aj dĺžky trvania projektu v jednotlivých rokoch.
V prípade, ak by bolo projektové riadenie zabezpečované externými zdrojmi, je potrebné manuálne doplniť tieto údaje</t>
        </r>
      </text>
    </comment>
    <comment ref="A161" authorId="0" shapeId="0" xr:uid="{00000000-0006-0000-1800-000010000000}">
      <text>
        <r>
          <rPr>
            <b/>
            <sz val="9"/>
            <color rgb="FF000000"/>
            <rFont val="Segoe UI"/>
            <family val="2"/>
            <charset val="1"/>
          </rPr>
          <t>Autor:</t>
        </r>
        <r>
          <rPr>
            <sz val="9"/>
            <color rgb="FF000000"/>
            <rFont val="Segoe UI"/>
            <family val="2"/>
            <charset val="1"/>
          </rPr>
          <t xml:space="preserve">
Túto sekciu je potrebné vyplniť v prípade potreby manuálne</t>
        </r>
      </text>
    </comment>
    <comment ref="A172" authorId="0" shapeId="0" xr:uid="{00000000-0006-0000-1800-000011000000}">
      <text>
        <r>
          <rPr>
            <b/>
            <sz val="9"/>
            <color rgb="FF000000"/>
            <rFont val="Segoe UI"/>
            <family val="2"/>
            <charset val="1"/>
          </rPr>
          <t>Autor:</t>
        </r>
        <r>
          <rPr>
            <sz val="9"/>
            <color rgb="FF000000"/>
            <rFont val="Segoe UI"/>
            <family val="2"/>
            <charset val="1"/>
          </rPr>
          <t xml:space="preserve">
Túto sekciu je potrebné vyplniť v prípade potreby manuálne</t>
        </r>
      </text>
    </comment>
    <comment ref="A182" authorId="0" shapeId="0" xr:uid="{00000000-0006-0000-1800-000012000000}">
      <text>
        <r>
          <rPr>
            <b/>
            <sz val="9"/>
            <color rgb="FF000000"/>
            <rFont val="Segoe UI"/>
            <family val="2"/>
            <charset val="1"/>
          </rPr>
          <t>Autor:</t>
        </r>
        <r>
          <rPr>
            <sz val="9"/>
            <color rgb="FF000000"/>
            <rFont val="Segoe UI"/>
            <family val="2"/>
            <charset val="1"/>
          </rPr>
          <t xml:space="preserve">
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1900-000001000000}">
      <text>
        <r>
          <rPr>
            <b/>
            <sz val="9"/>
            <color indexed="81"/>
            <rFont val="Segoe UI"/>
            <family val="2"/>
          </rPr>
          <t>Autor:</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900-000002000000}">
      <text>
        <r>
          <rPr>
            <b/>
            <sz val="9"/>
            <color indexed="81"/>
            <rFont val="Segoe UI"/>
            <family val="2"/>
          </rPr>
          <t>Autor:</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900-000003000000}">
      <text>
        <r>
          <rPr>
            <b/>
            <sz val="9"/>
            <color indexed="81"/>
            <rFont val="Segoe UI"/>
            <family val="2"/>
          </rPr>
          <t>Autor:</t>
        </r>
        <r>
          <rPr>
            <sz val="9"/>
            <color indexed="81"/>
            <rFont val="Segoe UI"/>
            <family val="2"/>
          </rPr>
          <t xml:space="preserve">
Túto sekciu je potrebné v prípade potreby vyplniť manuálne</t>
        </r>
      </text>
    </comment>
    <comment ref="A35" authorId="0" shapeId="0" xr:uid="{00000000-0006-0000-1900-000004000000}">
      <text>
        <r>
          <rPr>
            <b/>
            <sz val="9"/>
            <color indexed="81"/>
            <rFont val="Segoe UI"/>
            <family val="2"/>
          </rPr>
          <t>Autor:</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900-000005000000}">
      <text>
        <r>
          <rPr>
            <b/>
            <sz val="9"/>
            <color indexed="81"/>
            <rFont val="Segoe UI"/>
            <family val="2"/>
          </rPr>
          <t>Autor:</t>
        </r>
        <r>
          <rPr>
            <sz val="9"/>
            <color indexed="81"/>
            <rFont val="Segoe UI"/>
            <family val="2"/>
          </rPr>
          <t xml:space="preserve">
Túto sekciu je potrebné v prípade potreby vyplniť manuálne</t>
        </r>
      </text>
    </comment>
    <comment ref="A56" authorId="0" shapeId="0" xr:uid="{00000000-0006-0000-1900-000006000000}">
      <text>
        <r>
          <rPr>
            <b/>
            <sz val="9"/>
            <color indexed="81"/>
            <rFont val="Segoe UI"/>
            <family val="2"/>
          </rPr>
          <t>Autor:</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900-000007000000}">
      <text>
        <r>
          <rPr>
            <b/>
            <sz val="9"/>
            <color indexed="81"/>
            <rFont val="Segoe UI"/>
            <family val="2"/>
          </rPr>
          <t>Autor:</t>
        </r>
        <r>
          <rPr>
            <sz val="9"/>
            <color indexed="81"/>
            <rFont val="Segoe UI"/>
            <family val="2"/>
          </rPr>
          <t xml:space="preserve">
Túto sekciu je potrebné v prípade potreby vyplniť manuálne</t>
        </r>
      </text>
    </comment>
    <comment ref="A76" authorId="0" shapeId="0" xr:uid="{00000000-0006-0000-1900-000008000000}">
      <text>
        <r>
          <rPr>
            <b/>
            <sz val="9"/>
            <color indexed="81"/>
            <rFont val="Segoe UI"/>
            <family val="2"/>
          </rPr>
          <t>Autor:</t>
        </r>
        <r>
          <rPr>
            <sz val="9"/>
            <color indexed="81"/>
            <rFont val="Segoe UI"/>
            <family val="2"/>
          </rPr>
          <t xml:space="preserve">
Túto sekciu je potrebné v prípade potreby vyplniť manuálne</t>
        </r>
      </text>
    </comment>
    <comment ref="A86" authorId="0" shapeId="0" xr:uid="{00000000-0006-0000-1900-000009000000}">
      <text>
        <r>
          <rPr>
            <b/>
            <sz val="9"/>
            <color indexed="81"/>
            <rFont val="Segoe UI"/>
            <family val="2"/>
          </rPr>
          <t>Autor:</t>
        </r>
        <r>
          <rPr>
            <sz val="9"/>
            <color indexed="81"/>
            <rFont val="Segoe UI"/>
            <family val="2"/>
          </rPr>
          <t xml:space="preserve">
Túto sekciu je potrebné v prípade potreby vyplniť manuálne</t>
        </r>
      </text>
    </comment>
    <comment ref="A96" authorId="0" shapeId="0" xr:uid="{00000000-0006-0000-1900-00000A000000}">
      <text>
        <r>
          <rPr>
            <b/>
            <sz val="9"/>
            <color indexed="81"/>
            <rFont val="Segoe UI"/>
            <family val="2"/>
          </rPr>
          <t>Autor:</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7" authorId="0" shapeId="0" xr:uid="{00000000-0006-0000-1A00-000001000000}">
      <text>
        <r>
          <rPr>
            <b/>
            <sz val="9"/>
            <color indexed="81"/>
            <rFont val="Segoe UI"/>
            <family val="2"/>
          </rPr>
          <t>Autor:</t>
        </r>
        <r>
          <rPr>
            <sz val="9"/>
            <color indexed="81"/>
            <rFont val="Segoe UI"/>
            <family val="2"/>
          </rPr>
          <t xml:space="preserve">
Potrebné aktualizovať podľa informácii zo SU SR</t>
        </r>
      </text>
    </comment>
    <comment ref="A10" authorId="0" shapeId="0" xr:uid="{00000000-0006-0000-1A00-000002000000}">
      <text>
        <r>
          <rPr>
            <b/>
            <sz val="9"/>
            <color indexed="81"/>
            <rFont val="Segoe UI"/>
            <family val="2"/>
          </rPr>
          <t>Autor:</t>
        </r>
        <r>
          <rPr>
            <sz val="9"/>
            <color indexed="81"/>
            <rFont val="Segoe UI"/>
            <family val="2"/>
          </rPr>
          <t xml:space="preserve">
Potrebné aktualizovať podľa informácii zo SU SR</t>
        </r>
      </text>
    </comment>
    <comment ref="A12" authorId="0" shapeId="0" xr:uid="{00000000-0006-0000-1A00-000003000000}">
      <text>
        <r>
          <rPr>
            <b/>
            <sz val="9"/>
            <color rgb="FF000000"/>
            <rFont val="Segoe UI"/>
            <family val="2"/>
            <charset val="1"/>
          </rPr>
          <t>Autor:</t>
        </r>
        <r>
          <rPr>
            <sz val="9"/>
            <color rgb="FF000000"/>
            <rFont val="Segoe UI"/>
            <family val="2"/>
            <charset val="1"/>
          </rPr>
          <t xml:space="preserve">
Potrebne aktualizovať pre daný rok, v ktorom sa plánuje pojekt realizovať</t>
        </r>
      </text>
    </comment>
    <comment ref="A13" authorId="0" shapeId="0" xr:uid="{00000000-0006-0000-1A00-000004000000}">
      <text>
        <r>
          <rPr>
            <b/>
            <sz val="9"/>
            <color rgb="FF000000"/>
            <rFont val="Segoe UI"/>
            <family val="2"/>
            <charset val="1"/>
          </rPr>
          <t>Autor:</t>
        </r>
        <r>
          <rPr>
            <sz val="9"/>
            <color rgb="FF000000"/>
            <rFont val="Segoe UI"/>
            <family val="2"/>
            <charset val="1"/>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G18" authorId="0" shapeId="0" xr:uid="{00000000-0006-0000-0200-000001000000}">
      <text>
        <r>
          <rPr>
            <b/>
            <sz val="9"/>
            <color indexed="81"/>
            <rFont val="Segoe UI"/>
            <family val="2"/>
          </rPr>
          <t>Autor:</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Autor:</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3" authorId="0" shapeId="0" xr:uid="{00000000-0006-0000-0300-000001000000}">
      <text>
        <r>
          <rPr>
            <b/>
            <sz val="9"/>
            <color indexed="81"/>
            <rFont val="Segoe UI"/>
            <family val="2"/>
          </rPr>
          <t>Autor:</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300-000002000000}">
      <text>
        <r>
          <rPr>
            <b/>
            <sz val="9"/>
            <color rgb="FF000000"/>
            <rFont val="Segoe UI"/>
            <family val="2"/>
            <charset val="1"/>
          </rPr>
          <t>Autor:</t>
        </r>
        <r>
          <rPr>
            <sz val="9"/>
            <color rgb="FF000000"/>
            <rFont val="Segoe UI"/>
            <family val="2"/>
            <charset val="1"/>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 authorId="0" shapeId="0" xr:uid="{00000000-0006-0000-0800-000001000000}">
      <text>
        <r>
          <rPr>
            <b/>
            <sz val="9"/>
            <color indexed="81"/>
            <rFont val="Segoe UI"/>
            <family val="2"/>
          </rPr>
          <t>Autor:</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Autor:</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Autor:</t>
        </r>
        <r>
          <rPr>
            <sz val="9"/>
            <color indexed="81"/>
            <rFont val="Segoe UI"/>
            <family val="2"/>
          </rPr>
          <t xml:space="preserve">
Hodnota je automaticky dotiahnutá pre modul zo záložky ECF_v02</t>
        </r>
      </text>
    </comment>
    <comment ref="E2" authorId="0" shapeId="0" xr:uid="{00000000-0006-0000-0800-000004000000}">
      <text>
        <r>
          <rPr>
            <b/>
            <sz val="9"/>
            <color rgb="FF000000"/>
            <rFont val="Segoe UI"/>
            <family val="2"/>
            <charset val="1"/>
          </rPr>
          <t>Autor:</t>
        </r>
        <r>
          <rPr>
            <sz val="9"/>
            <color rgb="FF000000"/>
            <rFont val="Segoe UI"/>
            <family val="2"/>
            <charset val="1"/>
          </rPr>
          <t xml:space="preserve">
Hodnota je automaticky dotiahnutá pre modul zo záložky UAW_v02</t>
        </r>
      </text>
    </comment>
    <comment ref="F2" authorId="0" shapeId="0" xr:uid="{00000000-0006-0000-0800-000005000000}">
      <text>
        <r>
          <rPr>
            <b/>
            <sz val="9"/>
            <color indexed="81"/>
            <rFont val="Segoe UI"/>
            <family val="2"/>
          </rPr>
          <t>Autor:</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Autor:</t>
        </r>
        <r>
          <rPr>
            <sz val="9"/>
            <color indexed="81"/>
            <rFont val="Segoe UI"/>
            <family val="2"/>
          </rPr>
          <t xml:space="preserve">
Je potrebné vybrať inkrement, v ktorom bude daný modul dodaný</t>
        </r>
      </text>
    </comment>
    <comment ref="H2" authorId="0" shapeId="0" xr:uid="{00000000-0006-0000-0800-000007000000}">
      <text>
        <r>
          <rPr>
            <b/>
            <sz val="9"/>
            <color rgb="FF000000"/>
            <rFont val="Segoe UI"/>
            <family val="2"/>
            <charset val="1"/>
          </rPr>
          <t>Autor:</t>
        </r>
        <r>
          <rPr>
            <sz val="9"/>
            <color rgb="FF000000"/>
            <rFont val="Segoe UI"/>
            <family val="2"/>
            <charset val="1"/>
          </rPr>
          <t xml:space="preserve">
Automaticky vyplnený rok dodania z vybraného inkrementu</t>
        </r>
      </text>
    </comment>
    <comment ref="I2" authorId="0" shapeId="0" xr:uid="{00000000-0006-0000-0800-000008000000}">
      <text>
        <r>
          <rPr>
            <b/>
            <sz val="9"/>
            <color indexed="81"/>
            <rFont val="Segoe UI"/>
            <family val="2"/>
          </rPr>
          <t>Autor:</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Autor:</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Autor:</t>
        </r>
        <r>
          <rPr>
            <sz val="9"/>
            <color rgb="FF000000"/>
            <rFont val="Segoe UI"/>
            <family val="2"/>
            <charset val="1"/>
          </rPr>
          <t xml:space="preserve">
Jedná sa o stanovenie % pre aplikačnú podporu daného modulu, ak je aplikačná podpora relevantná</t>
        </r>
      </text>
    </comment>
    <comment ref="L2" authorId="0" shapeId="0" xr:uid="{00000000-0006-0000-0800-00000B000000}">
      <text>
        <r>
          <rPr>
            <b/>
            <sz val="9"/>
            <color indexed="81"/>
            <rFont val="Segoe UI"/>
            <family val="2"/>
          </rPr>
          <t>Autor:</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Autor:</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Autor:</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1" authorId="0" shapeId="0" xr:uid="{00000000-0006-0000-0A00-000001000000}">
      <text>
        <r>
          <rPr>
            <b/>
            <sz val="9"/>
            <color indexed="81"/>
            <rFont val="Segoe UI"/>
            <family val="2"/>
          </rPr>
          <t>Autor:</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Autor:</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Autor:</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Autor:</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Autor:</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2" authorId="0" shapeId="0" xr:uid="{00000000-0006-0000-0B00-000001000000}">
      <text>
        <r>
          <rPr>
            <b/>
            <sz val="9"/>
            <color indexed="81"/>
            <rFont val="Segoe UI"/>
            <family val="2"/>
          </rPr>
          <t>Autor:</t>
        </r>
        <r>
          <rPr>
            <sz val="9"/>
            <color indexed="81"/>
            <rFont val="Segoe UI"/>
            <family val="2"/>
          </rPr>
          <t xml:space="preserve">
Je potrebné stanoviť ID pre danú požiadavku, pričom sa začína od ID_1 a následne sa pokračuje vždy po 1</t>
        </r>
      </text>
    </comment>
    <comment ref="B2" authorId="0" shapeId="0" xr:uid="{00000000-0006-0000-0B00-000002000000}">
      <text>
        <r>
          <rPr>
            <b/>
            <sz val="9"/>
            <color indexed="81"/>
            <rFont val="Segoe UI"/>
            <family val="2"/>
          </rPr>
          <t>Autor:</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B00-000003000000}">
      <text>
        <r>
          <rPr>
            <b/>
            <sz val="9"/>
            <color rgb="FF000000"/>
            <rFont val="Segoe UI"/>
            <family val="2"/>
            <charset val="1"/>
          </rPr>
          <t>Autor:</t>
        </r>
        <r>
          <rPr>
            <sz val="9"/>
            <color rgb="FF000000"/>
            <rFont val="Segoe UI"/>
            <family val="2"/>
            <charset val="1"/>
          </rPr>
          <t xml:space="preserve">
Oblasti požiadaviek si definuje vlastník projektu, pričom by mali byť zvolené tak, aby zahŕňali nejakú ucelenú oblasť - napr. modul, funkčnosť a pod.</t>
        </r>
      </text>
    </comment>
    <comment ref="D2" authorId="0" shapeId="0" xr:uid="{00000000-0006-0000-0B00-000004000000}">
      <text>
        <r>
          <rPr>
            <b/>
            <sz val="9"/>
            <color rgb="FF000000"/>
            <rFont val="Segoe UI"/>
            <family val="2"/>
            <charset val="1"/>
          </rPr>
          <t>Autor:</t>
        </r>
        <r>
          <rPr>
            <sz val="9"/>
            <color rgb="FF000000"/>
            <rFont val="Segoe UI"/>
            <family val="2"/>
            <charset val="1"/>
          </rPr>
          <t xml:space="preserve">
Jedná sa o jednoduché nazvanie požiadavky</t>
        </r>
      </text>
    </comment>
    <comment ref="E2" authorId="0" shapeId="0" xr:uid="{00000000-0006-0000-0B00-000005000000}">
      <text>
        <r>
          <rPr>
            <b/>
            <sz val="9"/>
            <color rgb="FF000000"/>
            <rFont val="Segoe UI"/>
            <family val="2"/>
            <charset val="1"/>
          </rPr>
          <t>Autor:</t>
        </r>
        <r>
          <rPr>
            <sz val="9"/>
            <color rgb="FF000000"/>
            <rFont val="Segoe UI"/>
            <family val="2"/>
            <charset val="1"/>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B00-000006000000}">
      <text>
        <r>
          <rPr>
            <b/>
            <sz val="9"/>
            <color indexed="81"/>
            <rFont val="Segoe UI"/>
            <family val="2"/>
          </rPr>
          <t>Autor:</t>
        </r>
        <r>
          <rPr>
            <sz val="9"/>
            <color indexed="81"/>
            <rFont val="Segoe UI"/>
            <family val="2"/>
          </rPr>
          <t xml:space="preserve">
Mal by byť definovaný vlastník, ktorý je zodpovedný za definovanie danej požiadavky</t>
        </r>
      </text>
    </comment>
    <comment ref="G2" authorId="0" shapeId="0" xr:uid="{00000000-0006-0000-0B00-000007000000}">
      <text>
        <r>
          <rPr>
            <b/>
            <sz val="9"/>
            <color rgb="FF000000"/>
            <rFont val="Segoe UI"/>
            <family val="2"/>
            <charset val="1"/>
          </rPr>
          <t>Autor:</t>
        </r>
        <r>
          <rPr>
            <sz val="9"/>
            <color rgb="FF000000"/>
            <rFont val="Segoe UI"/>
            <family val="2"/>
            <charset val="1"/>
          </rPr>
          <t xml:space="preserve">
V tejto časti vyberie žiadateľ, ku ktorému modulu sa požiadavka viaže. 
Ak jedna požiadavka patrí k viacerým modulom, je potrbené je zadefinovať viac krát.</t>
        </r>
      </text>
    </comment>
    <comment ref="H2" authorId="0" shapeId="0" xr:uid="{00000000-0006-0000-0B00-000008000000}">
      <text>
        <r>
          <rPr>
            <b/>
            <sz val="9"/>
            <color indexed="81"/>
            <rFont val="Segoe UI"/>
            <family val="2"/>
          </rPr>
          <t>Autor:</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B00-000009000000}">
      <text>
        <r>
          <rPr>
            <b/>
            <sz val="9"/>
            <color indexed="81"/>
            <rFont val="Segoe UI"/>
            <family val="2"/>
          </rPr>
          <t>Autor:</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B00-00000A000000}">
      <text>
        <r>
          <rPr>
            <b/>
            <sz val="9"/>
            <color indexed="81"/>
            <rFont val="Segoe UI"/>
            <family val="2"/>
          </rPr>
          <t>Autor:</t>
        </r>
        <r>
          <rPr>
            <sz val="9"/>
            <color indexed="81"/>
            <rFont val="Segoe UI"/>
            <family val="2"/>
          </rPr>
          <t xml:space="preserve">
Predstavuje súčim Poctu pristupovych kanalov a Zlozitosti poziadavky</t>
        </r>
      </text>
    </comment>
    <comment ref="L2" authorId="0" shapeId="0" xr:uid="{00000000-0006-0000-0B00-00000B000000}">
      <text>
        <r>
          <rPr>
            <b/>
            <sz val="9"/>
            <color indexed="81"/>
            <rFont val="Segoe UI"/>
            <family val="2"/>
          </rPr>
          <t>Autor:</t>
        </r>
        <r>
          <rPr>
            <sz val="9"/>
            <color indexed="81"/>
            <rFont val="Segoe UI"/>
            <family val="2"/>
          </rPr>
          <t xml:space="preserve">
Dotiahnutá vážená hodnota UAW pre daný modul</t>
        </r>
      </text>
    </comment>
    <comment ref="M2" authorId="0" shapeId="0" xr:uid="{00000000-0006-0000-0B00-00000C000000}">
      <text>
        <r>
          <rPr>
            <b/>
            <sz val="9"/>
            <color indexed="81"/>
            <rFont val="Segoe UI"/>
            <family val="2"/>
          </rPr>
          <t>Autor:</t>
        </r>
        <r>
          <rPr>
            <sz val="9"/>
            <color indexed="81"/>
            <rFont val="Segoe UI"/>
            <family val="2"/>
          </rPr>
          <t xml:space="preserve">
Dotiahntuá hodnota zo záložky Moduly pre daný modul</t>
        </r>
      </text>
    </comment>
    <comment ref="N2" authorId="0" shapeId="0" xr:uid="{00000000-0006-0000-0B00-00000D000000}">
      <text>
        <r>
          <rPr>
            <b/>
            <sz val="9"/>
            <color indexed="81"/>
            <rFont val="Segoe UI"/>
            <family val="2"/>
          </rPr>
          <t>Autor:</t>
        </r>
        <r>
          <rPr>
            <sz val="9"/>
            <color indexed="81"/>
            <rFont val="Segoe UI"/>
            <family val="2"/>
          </rPr>
          <t xml:space="preserve">
Dotiahntuá hodnota zo záložky Moduly pre daný modul</t>
        </r>
      </text>
    </comment>
    <comment ref="O2" authorId="0" shapeId="0" xr:uid="{00000000-0006-0000-0B00-00000E000000}">
      <text>
        <r>
          <rPr>
            <b/>
            <sz val="9"/>
            <color indexed="81"/>
            <rFont val="Segoe UI"/>
            <family val="2"/>
          </rPr>
          <t>Autor:</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B00-00000F000000}">
      <text>
        <r>
          <rPr>
            <b/>
            <sz val="9"/>
            <color indexed="81"/>
            <rFont val="Segoe UI"/>
            <family val="2"/>
          </rPr>
          <t>Autor:</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B00-000010000000}">
      <text>
        <r>
          <rPr>
            <b/>
            <sz val="9"/>
            <color indexed="81"/>
            <rFont val="Segoe UI"/>
            <family val="2"/>
          </rPr>
          <t>Autor:</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4" authorId="0" shapeId="0" xr:uid="{00000000-0006-0000-0C00-000001000000}">
      <text>
        <r>
          <rPr>
            <b/>
            <sz val="9"/>
            <color indexed="81"/>
            <rFont val="Segoe UI"/>
            <family val="2"/>
          </rPr>
          <t>Autor:</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rgb="FF000000"/>
            <rFont val="Segoe UI"/>
            <family val="2"/>
            <charset val="1"/>
          </rPr>
          <t>Autor:</t>
        </r>
        <r>
          <rPr>
            <sz val="9"/>
            <color rgb="FF000000"/>
            <rFont val="Segoe UI"/>
            <family val="2"/>
            <charset val="1"/>
          </rPr>
          <t xml:space="preserve">
Jedná sa o výber hodnoty váhy parametera pre projekt</t>
        </r>
      </text>
    </comment>
    <comment ref="A5" authorId="0" shapeId="0" xr:uid="{00000000-0006-0000-0C00-000003000000}">
      <text>
        <r>
          <rPr>
            <b/>
            <sz val="9"/>
            <color indexed="81"/>
            <rFont val="Segoe UI"/>
            <family val="2"/>
          </rPr>
          <t>Autor:</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Autor:</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Autor:</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Autor:</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Autor:</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Autor:</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Autor:</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Autor:</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Autor:</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Autor:</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Autor:</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Autor:</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Autor:</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Autor:</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4" authorId="0" shapeId="0" xr:uid="{00000000-0006-0000-0D00-000001000000}">
      <text>
        <r>
          <rPr>
            <b/>
            <sz val="9"/>
            <color indexed="81"/>
            <rFont val="Segoe UI"/>
            <family val="2"/>
          </rPr>
          <t>Autor:</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Autor:</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Autor:</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Autor:</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Autor:</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Autor:</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Autor:</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Autor:</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Autor:</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Autor:</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Autor:</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1" authorId="0" shapeId="0" xr:uid="{00000000-0006-0000-0E00-000001000000}">
      <text>
        <r>
          <rPr>
            <b/>
            <sz val="9"/>
            <color rgb="FF000000"/>
            <rFont val="Segoe UI"/>
            <family val="2"/>
            <charset val="1"/>
          </rPr>
          <t>Autor:</t>
        </r>
        <r>
          <rPr>
            <sz val="9"/>
            <color rgb="FF000000"/>
            <rFont val="Segoe UI"/>
            <family val="2"/>
            <charset val="1"/>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rgb="FF000000"/>
            <rFont val="Segoe UI"/>
            <family val="2"/>
            <charset val="1"/>
          </rPr>
          <t>Autor:</t>
        </r>
        <r>
          <rPr>
            <sz val="9"/>
            <color rgb="FF000000"/>
            <rFont val="Segoe UI"/>
            <family val="2"/>
            <charset val="1"/>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Autor:</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Autor:</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Autor:</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Autor:</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E00-000007000000}">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6" authorId="0" shapeId="0" xr:uid="{1F88582D-B7C6-284E-9CBC-258FD7D6425C}">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6" authorId="0" shapeId="0" xr:uid="{00000000-0006-0000-0E00-000009000000}">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7" authorId="0" shapeId="0" xr:uid="{B2FBEA01-DC23-6C4F-9F06-8AEEBAC694BD}">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7" authorId="0" shapeId="0" xr:uid="{D1A79FE1-68E9-6946-9C82-53ADCAD62D56}">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7" authorId="0" shapeId="0" xr:uid="{00000000-0006-0000-0E00-00000C000000}">
      <text>
        <r>
          <rPr>
            <b/>
            <sz val="9"/>
            <color indexed="81"/>
            <rFont val="Segoe UI"/>
            <family val="2"/>
          </rPr>
          <t>Autor:</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F8A41109-B29B-694E-AF09-A2A9DE42DA02}">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8" authorId="0" shapeId="0" xr:uid="{E06D05EF-E38A-3E49-B696-BE762575DEAF}">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8" authorId="0" shapeId="0" xr:uid="{00000000-0006-0000-0E00-00000F000000}">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9" authorId="0" shapeId="0" xr:uid="{DDF06EEC-3892-B34E-BB01-37BB9CB84E09}">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9" authorId="0" shapeId="0" xr:uid="{C2DAA04D-C154-074B-A1D0-EEADDC1CDE54}">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9" authorId="0" shapeId="0" xr:uid="{6A8C9DF9-10C2-214C-9D7F-4CA55C6EC711}">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0" authorId="0" shapeId="0" xr:uid="{5E356F79-D76F-4640-8229-3864699443B3}">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0" authorId="0" shapeId="0" xr:uid="{69E8D384-0AFB-9F4C-8E90-36694F722B7B}">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0" authorId="0" shapeId="0" xr:uid="{26C56055-F3A3-EF41-81CF-35A230A6DE4E}">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1" authorId="0" shapeId="0" xr:uid="{A2A77CB2-6C7F-2742-AF9B-83713F6899E8}">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1" authorId="0" shapeId="0" xr:uid="{AD5A2141-E9CA-D64C-8BCD-664BA208E472}">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1" authorId="0" shapeId="0" xr:uid="{59F41D60-6174-7940-8DF7-121BFCC3E65E}">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2" authorId="0" shapeId="0" xr:uid="{574D6204-7D85-4E47-9143-B8AC43C0D439}">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2" authorId="0" shapeId="0" xr:uid="{0D47C541-0D2C-B443-A8EA-2848E0F253A9}">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2" authorId="0" shapeId="0" xr:uid="{2118994F-BF1E-8B49-9A82-2A1C2C9C2064}">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3" authorId="0" shapeId="0" xr:uid="{136C4124-9652-BE47-B755-4BE8A0A87865}">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3" authorId="0" shapeId="0" xr:uid="{6D237D42-5879-054C-BD3D-362E98EE6611}">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3" authorId="0" shapeId="0" xr:uid="{15E760DD-4E90-BA49-9BF5-B3E86340FBDF}">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4" authorId="0" shapeId="0" xr:uid="{15BD09F5-63F6-F74C-8E1F-4E1342A3CFF0}">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4" authorId="0" shapeId="0" xr:uid="{791B7907-0CB6-9442-B883-39E761755F74}">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4" authorId="0" shapeId="0" xr:uid="{43C8626D-153F-AB4C-974F-EE5F42ACA4D3}">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C15" authorId="0" shapeId="0" xr:uid="{4D7CAFDE-EF49-414E-B0C8-86CF21EE5E96}">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D15" authorId="0" shapeId="0" xr:uid="{2DD1C486-1EEF-3444-B50A-15F45EC94C0F}">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 ref="E15" authorId="0" shapeId="0" xr:uid="{25693086-9C53-5B47-9AA6-0AF388E41A64}">
      <text>
        <r>
          <rPr>
            <b/>
            <sz val="9"/>
            <color rgb="FF000000"/>
            <rFont val="Segoe UI"/>
            <family val="2"/>
            <charset val="1"/>
          </rPr>
          <t>Autor:</t>
        </r>
        <r>
          <rPr>
            <sz val="9"/>
            <color rgb="FF000000"/>
            <rFont val="Segoe UI"/>
            <family val="2"/>
            <charset val="1"/>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<sst xmlns="http://schemas.openxmlformats.org/spreadsheetml/2006/main" count="6734" uniqueCount="1612">
  <si>
    <t>Príloha pre spracovanie biznis case a cost benefit analýzy informačných technológií verejnej správy</t>
  </si>
  <si>
    <t>Verzia dokumentu:</t>
  </si>
  <si>
    <t>Názov riešenia</t>
  </si>
  <si>
    <t>Transformácia ISŠP na novú architektúru – Omnikanál</t>
  </si>
  <si>
    <t>Číslo projektu ITMS</t>
  </si>
  <si>
    <t>Kód Projektu a ISVS z MetaIS</t>
  </si>
  <si>
    <t>projekt_2344</t>
  </si>
  <si>
    <t>Organizácia</t>
  </si>
  <si>
    <t>Štátna pokladnica</t>
  </si>
  <si>
    <t>Ulica</t>
  </si>
  <si>
    <t>Radlinského 32</t>
  </si>
  <si>
    <t>PSČ</t>
  </si>
  <si>
    <t>Web</t>
  </si>
  <si>
    <t>www.pokladnica.sk</t>
  </si>
  <si>
    <t>IČO</t>
  </si>
  <si>
    <t>Spracovateľ</t>
  </si>
  <si>
    <t xml:space="preserve">    Titul, Meno, Priezvisko</t>
  </si>
  <si>
    <t xml:space="preserve">Kontakt na spracovateľa    </t>
  </si>
  <si>
    <t xml:space="preserve">    Email, telefón</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</si>
  <si>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</si>
  <si>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</si>
  <si>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</si>
  <si>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</si>
  <si>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</si>
  <si>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</si>
  <si>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</si>
  <si>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</si>
  <si>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v2.3</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</si>
  <si>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</si>
  <si>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</si>
  <si>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</si>
  <si>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</si>
  <si>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</si>
  <si>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</si>
  <si>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</si>
  <si>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</si>
  <si>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</si>
  <si>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</si>
  <si>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</si>
  <si>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</si>
  <si>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</si>
  <si>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</si>
  <si>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</si>
  <si>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</si>
  <si>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</si>
  <si>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</si>
  <si>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</si>
  <si>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</si>
  <si>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</si>
  <si>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</si>
  <si>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</si>
  <si>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</si>
  <si>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</si>
  <si>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</si>
  <si>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</si>
  <si>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</si>
  <si>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</si>
  <si>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</si>
  <si>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</si>
  <si>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</si>
  <si>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</si>
  <si>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</si>
  <si>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</si>
  <si>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</si>
  <si>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</si>
  <si>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</si>
  <si>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</si>
  <si>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</si>
  <si>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</si>
  <si>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</si>
  <si>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</si>
  <si>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</si>
  <si>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</si>
  <si>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</si>
  <si>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</si>
  <si>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</si>
  <si>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</si>
  <si>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</si>
  <si>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</si>
  <si>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</si>
  <si>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</si>
  <si>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</si>
  <si>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</si>
  <si>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</si>
  <si>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</si>
  <si>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</si>
  <si>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</si>
  <si>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</si>
  <si>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</si>
  <si>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</si>
  <si>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</si>
  <si>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</si>
  <si>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</si>
  <si>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</si>
  <si>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</si>
  <si>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</si>
  <si>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</si>
  <si>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</si>
  <si>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</si>
  <si>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</si>
  <si>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</si>
  <si>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</si>
  <si>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</si>
  <si>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</si>
  <si>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</si>
  <si>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</si>
  <si>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</si>
  <si>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</si>
  <si>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</si>
  <si>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</si>
  <si>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</si>
  <si>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</si>
  <si>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</si>
  <si>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</si>
  <si>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</si>
  <si>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</si>
  <si>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</si>
  <si>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</si>
  <si>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</si>
  <si>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</si>
  <si>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</si>
  <si>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</si>
  <si>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</si>
  <si>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</si>
  <si>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</si>
  <si>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</si>
  <si>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</si>
  <si>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</si>
  <si>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</si>
  <si>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</si>
  <si>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</si>
  <si>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</si>
  <si>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</si>
  <si>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</si>
  <si>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</si>
  <si>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</si>
  <si>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etapy</t>
  </si>
  <si>
    <t>Vývoj aplikácií</t>
  </si>
  <si>
    <t>OPEX</t>
  </si>
  <si>
    <t>Externé</t>
  </si>
  <si>
    <t>CAPEX</t>
  </si>
  <si>
    <t>Interné</t>
  </si>
  <si>
    <t>Nákup HW a SW</t>
  </si>
  <si>
    <t>Prevádzka</t>
  </si>
  <si>
    <t>HW a SW</t>
  </si>
  <si>
    <t>Podporné oblasti</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</si>
  <si>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</si>
  <si>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</si>
  <si>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</si>
  <si>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</si>
  <si>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</si>
  <si>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</si>
  <si>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</si>
  <si>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</si>
  <si>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</si>
  <si>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</si>
  <si>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</si>
  <si>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</si>
  <si>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</si>
  <si>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</si>
  <si>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</si>
  <si>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</si>
  <si>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</si>
  <si>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</si>
  <si>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</si>
  <si>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</si>
  <si>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</si>
  <si>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</si>
  <si>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</si>
  <si>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</si>
  <si>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</si>
  <si>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</si>
  <si>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</si>
  <si>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</si>
  <si>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</si>
  <si>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</si>
  <si>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</si>
  <si>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</si>
  <si>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</si>
  <si>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</si>
  <si>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</si>
  <si>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</si>
  <si>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</si>
  <si>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</si>
  <si>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</si>
  <si>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</si>
  <si>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</si>
  <si>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</si>
  <si>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</si>
  <si>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</si>
  <si>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</si>
  <si>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</si>
  <si>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</si>
  <si>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</si>
  <si>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</si>
  <si>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</si>
  <si>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</si>
  <si>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</si>
  <si>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</si>
  <si>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</si>
  <si>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</si>
  <si>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</si>
  <si>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</si>
  <si>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 xml:space="preserve">                                          </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</si>
  <si>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</si>
  <si>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</si>
  <si>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</si>
  <si>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</si>
  <si>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</si>
  <si>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</si>
  <si>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</si>
  <si>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</si>
  <si>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</si>
  <si>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</si>
  <si>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</si>
  <si>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</si>
  <si>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</si>
  <si>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</si>
  <si>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</si>
  <si>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</si>
  <si>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</si>
  <si>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 xml:space="preserve"> </t>
  </si>
  <si>
    <t>Cena ušetreného času používateľa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</si>
  <si>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</si>
  <si>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</si>
  <si>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</si>
  <si>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</si>
  <si>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</si>
  <si>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</si>
  <si>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</si>
  <si>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</si>
  <si>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</si>
  <si>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</si>
  <si>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</si>
  <si>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</si>
  <si>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</si>
  <si>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</si>
  <si>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</si>
  <si>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</si>
  <si>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</si>
  <si>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</si>
  <si>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Adaptér core banking služieb</t>
  </si>
  <si>
    <t>Inkrement 1</t>
  </si>
  <si>
    <t>MOD_02</t>
  </si>
  <si>
    <t>Autentifikačný modul</t>
  </si>
  <si>
    <t>MOD_03</t>
  </si>
  <si>
    <t>Mobilná aplikácia - autentifikácia</t>
  </si>
  <si>
    <t>MOD_04</t>
  </si>
  <si>
    <t>KYC</t>
  </si>
  <si>
    <t>MOD_05</t>
  </si>
  <si>
    <t>Webový portál ŠP</t>
  </si>
  <si>
    <t>Inkrement 4</t>
  </si>
  <si>
    <t>MOD_06</t>
  </si>
  <si>
    <t>OpenAPI</t>
  </si>
  <si>
    <t>MOD_07</t>
  </si>
  <si>
    <t>Modul platobných funkcionalít</t>
  </si>
  <si>
    <t>Inkrement 2</t>
  </si>
  <si>
    <t>MOD_08</t>
  </si>
  <si>
    <t>Modul všeobecných funkcionalít</t>
  </si>
  <si>
    <t>MOD_09</t>
  </si>
  <si>
    <t>Mobilná aplikácia - autorizácia a notifikácie</t>
  </si>
  <si>
    <t>MOD_10</t>
  </si>
  <si>
    <t>Modul rozpočtových funkcionalít</t>
  </si>
  <si>
    <t>Inkrement 3</t>
  </si>
  <si>
    <t>MOD_11</t>
  </si>
  <si>
    <t>Migrácia do RPC</t>
  </si>
  <si>
    <t>Inkrement 5</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</si>
  <si>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</si>
  <si>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</si>
  <si>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</si>
  <si>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</si>
  <si>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</si>
  <si>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</si>
  <si>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</si>
  <si>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</si>
  <si>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</si>
  <si>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</si>
  <si>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</si>
  <si>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</si>
  <si>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</si>
  <si>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</si>
  <si>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</si>
  <si>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</si>
  <si>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</si>
  <si>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</si>
  <si>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</si>
  <si>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</si>
  <si>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</si>
  <si>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</si>
  <si>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</si>
  <si>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</si>
  <si>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</si>
  <si>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</si>
  <si>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</si>
  <si>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</si>
  <si>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</si>
  <si>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</si>
  <si>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</si>
  <si>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</si>
  <si>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</si>
  <si>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</si>
  <si>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</si>
  <si>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</si>
  <si>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</si>
  <si>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</si>
  <si>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</si>
  <si>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</si>
  <si>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</si>
  <si>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</si>
  <si>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</si>
  <si>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</si>
  <si>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</si>
  <si>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</si>
  <si>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</si>
  <si>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</si>
  <si>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</si>
  <si>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</si>
  <si>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</si>
  <si>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</si>
  <si>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</si>
  <si>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</si>
  <si>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</si>
  <si>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</si>
  <si>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</si>
  <si>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</si>
  <si>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</si>
  <si>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</si>
  <si>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</si>
  <si>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</si>
  <si>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</si>
  <si>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</si>
  <si>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</si>
  <si>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</si>
  <si>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</si>
  <si>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</si>
  <si>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</si>
  <si>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</si>
  <si>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</si>
  <si>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</si>
  <si>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</si>
  <si>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</si>
  <si>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</si>
  <si>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</si>
  <si>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</si>
  <si>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</si>
  <si>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</si>
  <si>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</si>
  <si>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</si>
  <si>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</si>
  <si>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</si>
  <si>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</si>
  <si>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</si>
  <si>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</si>
  <si>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</si>
  <si>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</si>
  <si>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</si>
  <si>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</si>
  <si>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</si>
  <si>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</si>
  <si>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</si>
  <si>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</si>
  <si>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</si>
  <si>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</si>
  <si>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</si>
  <si>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</si>
  <si>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</si>
  <si>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</si>
  <si>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</si>
  <si>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</si>
  <si>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</si>
  <si>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</si>
  <si>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</si>
  <si>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</si>
  <si>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</si>
  <si>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</si>
  <si>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</si>
  <si>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</si>
  <si>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</si>
  <si>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</si>
  <si>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</si>
  <si>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</si>
  <si>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</si>
  <si>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</si>
  <si>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</si>
  <si>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</si>
  <si>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</si>
  <si>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</si>
  <si>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</si>
  <si>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</si>
  <si>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</si>
  <si>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</si>
  <si>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</si>
  <si>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</si>
  <si>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</si>
  <si>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</si>
  <si>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</si>
  <si>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</si>
  <si>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</si>
  <si>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</si>
  <si>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</si>
  <si>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</si>
  <si>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</si>
  <si>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</si>
  <si>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</si>
  <si>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</si>
  <si>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</si>
  <si>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</si>
  <si>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</si>
  <si>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</si>
  <si>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</si>
  <si>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</si>
  <si>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</si>
  <si>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</si>
  <si>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</si>
  <si>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</si>
  <si>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</si>
  <si>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</si>
  <si>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</si>
  <si>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</si>
  <si>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</si>
  <si>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</si>
  <si>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</si>
  <si>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</si>
  <si>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</si>
  <si>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</si>
  <si>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</si>
  <si>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</si>
  <si>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</si>
  <si>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</si>
  <si>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</si>
  <si>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</si>
  <si>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</si>
  <si>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</si>
  <si>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</si>
  <si>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</si>
  <si>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</si>
  <si>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</si>
  <si>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</si>
  <si>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</si>
  <si>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</si>
  <si>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</si>
  <si>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</si>
  <si>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</si>
  <si>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</si>
  <si>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</si>
  <si>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</si>
  <si>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</si>
  <si>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</si>
  <si>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</si>
  <si>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</si>
  <si>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</si>
  <si>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</si>
  <si>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VLASTNÍK 
POŽIADAVKY</t>
  </si>
  <si>
    <r>
      <t xml:space="preserve">NÁZOV MODULU
</t>
    </r>
    <r>
      <rPr>
        <sz val="10"/>
        <rFont val="Calibri Light"/>
        <family val="2"/>
        <scheme val="major"/>
      </rPr>
      <t>(príslušnosť požiadavky k modulu)</t>
    </r>
  </si>
  <si>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</si>
  <si>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</si>
  <si>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</si>
  <si>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</si>
  <si>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</si>
  <si>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</si>
  <si>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</si>
  <si>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</si>
  <si>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</si>
  <si>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</si>
  <si>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</si>
  <si>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</si>
  <si>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</si>
  <si>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</si>
  <si>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</si>
  <si>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</si>
  <si>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</si>
  <si>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</si>
  <si>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</si>
  <si>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</si>
  <si>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</si>
  <si>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Funkcna poziadavka</t>
  </si>
  <si>
    <t>Platby</t>
  </si>
  <si>
    <t xml:space="preserve">Realizácia jednorazovej platby </t>
  </si>
  <si>
    <t>Zmena dátumu splatnosti jednorázovej platby</t>
  </si>
  <si>
    <t>Žiadosť o realizáciu jednorazovej platby - Pridanie</t>
  </si>
  <si>
    <t>Žiadosť o realizáciu jednorazovej platby - Pridanie SEPA platby</t>
  </si>
  <si>
    <t>Žiadosť o realizáciu jednorazovej platby - Pridanie cezhraničnej platby</t>
  </si>
  <si>
    <t>Žiadosť o realizáciu jednorazovej platby - Pridanie lokálnej platby</t>
  </si>
  <si>
    <t>Žiadosť o realizáciu jednorazovej platby - Pridanie platby šekom</t>
  </si>
  <si>
    <t>Žiadosť o realizáciu jednorazovej platby - Pridanie prioritnej platby</t>
  </si>
  <si>
    <t>Žiadosť o realizáciu jednorazovej platby - Zmena</t>
  </si>
  <si>
    <t>Žiadosť o realizáciu jednorazovej platby - Zmena SEPA platby</t>
  </si>
  <si>
    <t>Žiadosť o realizáciu jednorázovej platby - Zmena cezhraničnej platby</t>
  </si>
  <si>
    <t>Žiadosť o realizáciu jednorazovej platby - Zmena lokálnej platby</t>
  </si>
  <si>
    <t>Žiadosť o realizáciu jednorazovej platby - Zmena platby šekom</t>
  </si>
  <si>
    <t>Žiadosť o realizáciu jednorazovej platby - Zmena prioritnej platby</t>
  </si>
  <si>
    <t>Žiadosť o realizáciu jednorazovej platby - Obmena</t>
  </si>
  <si>
    <t>Žiadosť o realizáciu jednorazovej platby - Obmena SEPA platby</t>
  </si>
  <si>
    <t>Žiadosť o realizáciu jednorazovej platby - Obmena cezhraničnej platby</t>
  </si>
  <si>
    <t>Žiadosť o realizáciu jednorazovej platby - Obmena lokálnej platby</t>
  </si>
  <si>
    <t>Žiadosť o realizáciu jednorazovej platby - Obmena platby šekom</t>
  </si>
  <si>
    <t>Žiadosť o realizáciu jednorazovej platby - Obmena prioritnej platby</t>
  </si>
  <si>
    <t>Žiadosť o realizáciu jednorazovej platby – Výzva na zrušenie zaplatenej SEPA a prioritnej platby</t>
  </si>
  <si>
    <t>Žiadosť o realizáciu jednorazovej platby – Zruš výzvu</t>
  </si>
  <si>
    <t>Žiadosť o realizáciu jednorazovej platby – Odošli aktualizáciu</t>
  </si>
  <si>
    <t>Žiadosť o realizáciu jednorazovej platby - Výzva na potvrdenie pripísania</t>
  </si>
  <si>
    <t>Žiadosť o realizáciu jednorazovej platby - Zrušenie filtrovaných</t>
  </si>
  <si>
    <t>Žiadosť o realizáciu jednorazovej platby - Zmena označených</t>
  </si>
  <si>
    <t>Žiadosť o realizáciu jednorazovej platby - Zmena filtrovaných</t>
  </si>
  <si>
    <t>Žiadosť o realizáciu jednorazovej platby - Detail</t>
  </si>
  <si>
    <t>Žiadosť o realizáciu jednorazovej platby - Detail SEPA platby</t>
  </si>
  <si>
    <t>Žiadosť o realizáciu jednorazovej platby - Detail cezhraničnej platby</t>
  </si>
  <si>
    <t>Žiadosť o realizáciu jednorazovej platby - Detail lokálnej platby</t>
  </si>
  <si>
    <t>Žiadosť o realizáciu jednorazovej platby - Detail platby šekom</t>
  </si>
  <si>
    <t>Žiadosť o realizáciu jednorazovej platby - Detail prioritnej platby</t>
  </si>
  <si>
    <t>Žiadosť o realizáciu jednorazovej platby - Priradenie</t>
  </si>
  <si>
    <t>Žiadosť o realizáciu jednorazovej platby - Zrušenie priradení filtrovaným platbám</t>
  </si>
  <si>
    <t>Žiadosť o realizáciu jednorazovej platby - Rozpísanie klasifikácie</t>
  </si>
  <si>
    <t>Žiadosť o realizáciu jednorazovej platby - Rozpísanie klasifikácie - platba z bežného účtu</t>
  </si>
  <si>
    <t>Žiadosť o realizáciu jednorazovej platby - Rozpísanie klasifikácie - platba z príjmového účtu alebo z bežného účtu s príznakom špeciálne operácie</t>
  </si>
  <si>
    <t>Žiadosť o realizáciu jednorazovej platby - Rozpísanie klasifikácie - platba z výdavkového účtu</t>
  </si>
  <si>
    <t>Žiadosť o realizáciu jednorazovej platby - Podpísanie</t>
  </si>
  <si>
    <t>Žiadosť o realizáciu jednorazovej platby - Podpísanie označených</t>
  </si>
  <si>
    <t>Žiadosť o realizáciu jednorazovej platby - Podpísanie filtrovaných</t>
  </si>
  <si>
    <t>Žiadosť o realizáciu jednorazovej platby - Poplatková a iná RK na PÚ a SÚ</t>
  </si>
  <si>
    <t>Žiadosť o realizáciu jednorazovej platby - Hromadná oprava RK</t>
  </si>
  <si>
    <t>Žiadosť o realizáciu jednorazovej platby - História</t>
  </si>
  <si>
    <t>Žiadosť o realizáciu jednorazovej platby - História - Detail</t>
  </si>
  <si>
    <t>Žiadosť o realizáciu jednorazovej platby - Tlač</t>
  </si>
  <si>
    <t>Žiadosť o realizáciu trvalej platby - Pridanie</t>
  </si>
  <si>
    <t>Žiadosť o realizáciu trvalej platby - Zmena</t>
  </si>
  <si>
    <t>Žiadosť o realizáciu trvalej platby - Obmena</t>
  </si>
  <si>
    <t>Žiadosť o realizáciu trvalej platby - Zruš</t>
  </si>
  <si>
    <t>Žiadosť o realizáciu trvalej platby - Detail</t>
  </si>
  <si>
    <t>Žiadosť o realizáciu trvalej platby - Generovanie</t>
  </si>
  <si>
    <t>Žiadosť o realizáciu trvalej platby - Rozpísanie klasifikácie</t>
  </si>
  <si>
    <t>Žiadosť o realizáciu trvalej platby - Podpísanie</t>
  </si>
  <si>
    <t>Žiadosť o realizáciu trvalej platby - Zrušenie podpísania</t>
  </si>
  <si>
    <t>Žiadosť o realizáciu trvalej platby - História</t>
  </si>
  <si>
    <t>Žiadosť o realizáciu trvalej platby - História - Detail</t>
  </si>
  <si>
    <t>Žiadosť o realizáciu hromadnej platby - Pridanie</t>
  </si>
  <si>
    <t>Žiadosť o realizáciu hromadnej platby - Zmena</t>
  </si>
  <si>
    <t>Žiadosť o realizáciu hromadnej platby - Obmena</t>
  </si>
  <si>
    <t>Žiadosť o realizáciu hromadnej platby - Zobraz položky</t>
  </si>
  <si>
    <t>Žiadosť o realizáciu hromadnej platby – Výzva na Zrušenie zaplatených SEPA a prioritných položiek HP</t>
  </si>
  <si>
    <t>Žiadosť o realizáciu hromadbej platby - Výzva na potvrdenie pripísania zaplatených položiek HP</t>
  </si>
  <si>
    <t>Žiadosť o realizáciu hromadbej platby - Výzva na potvrdenie pripísania zaplatených položiek HP - Odošli aktualizáciu</t>
  </si>
  <si>
    <t>Žiadosť o realizáciu hromadnej platby - Detail</t>
  </si>
  <si>
    <t>Žiadosť o realizáciu hromadnej platby - Priradenie</t>
  </si>
  <si>
    <t>Žiadosť o realizáciu hromadnej platby - Rozpísanie klasifikácie</t>
  </si>
  <si>
    <t>Žiadosť o realizáciu hromadnej platby - Rozpísanie klasifikácie - platba z bežného účtu</t>
  </si>
  <si>
    <t>Žiadosť o realizáciu hromadnej platby - Rozpísanie klasifikácie - platba z výdavkového účtu</t>
  </si>
  <si>
    <t>Žiadosť o realizáciu hromadnej platby - Dorovnanie</t>
  </si>
  <si>
    <t>Žiadosť o realizáciu hromadnej platby - Podpísanie</t>
  </si>
  <si>
    <t>Žiadosť o realizáciu hromadnej platby - História</t>
  </si>
  <si>
    <t>Žiadosť o realizáciu hromadnej platby - História - Detail</t>
  </si>
  <si>
    <t>Žiadosť o realizáciu hromadnej platby - Tlač</t>
  </si>
  <si>
    <t>Žiadosť o realizáciu dávkovej platby - Pridanie</t>
  </si>
  <si>
    <t>Žiadosť o realizáciu dávkovej platby - Zrušenie</t>
  </si>
  <si>
    <t>Žiadosť o realizáciu dávkovej platby - Zobraz položky</t>
  </si>
  <si>
    <t>Žiadosť o realizáciu dávkovej platby - Zrušenie označených položiek</t>
  </si>
  <si>
    <t>Žiadosť o realizáciu dávkovej platby – Výzva na Zrušenie zaplatených SEPA a prioritných položiek DP</t>
  </si>
  <si>
    <t>Žiadosť o realizáciu dávkovej platby - Výzva na potvrdenie pripísania zaplatených položiek DP</t>
  </si>
  <si>
    <t>Žiadosť o realizáciu dávkovej platby - Detail</t>
  </si>
  <si>
    <t>Žiadosť o realizáciu dávkovej platby - Detail (typ JP)</t>
  </si>
  <si>
    <t>Žiadosť o realizáciu dávkovej platby - Detail (typ DB, DS)</t>
  </si>
  <si>
    <t>Žiadosť o realizáciu dávkovej platby - Detail (typ DR)</t>
  </si>
  <si>
    <t>Žiadosť o realizáciu dávkovej platby - Priradenie</t>
  </si>
  <si>
    <t>Žiadosť o realizáciu dávkovej platby - Rozpísanie klasifikácie</t>
  </si>
  <si>
    <t>Žiadosť o realizáciu dávkovej platby - Rozpísanie klasifikácie (Typ DB)</t>
  </si>
  <si>
    <t>Žiadosť o realizáciu dávkovej platby - Rozpísanie klasifikácie (Typ DS)</t>
  </si>
  <si>
    <t>Žiadosť o realizáciu dávkovej platby - Rozpísanie klasifikácie (Typ DR)</t>
  </si>
  <si>
    <t>Žiadosť o realizáciu dávkovej platby - Dorovnanie</t>
  </si>
  <si>
    <t>Žiadosť o realizáciu dávkovej platby - Podpísanie</t>
  </si>
  <si>
    <t>Žiadosť o realizáciu dávkovej platby - Zrušenie podpísania</t>
  </si>
  <si>
    <t>Žiadosť o realizáciu dávkovej platby - Protokol</t>
  </si>
  <si>
    <t>Žiadosť o realizáciu dávkovej platby - Protokol (Typ DB, DR, DS)</t>
  </si>
  <si>
    <t>Žiadosť o realizáciu dávkovej platby - Protokol (Typ JP)</t>
  </si>
  <si>
    <t>Žiadosť o realizáciu dávkovej platby - História</t>
  </si>
  <si>
    <t>Žiadosť o realizáciu dávkovej platby - História - Detail</t>
  </si>
  <si>
    <t>Žiadosť o realizáciu dávkovej platby - Spočítaj</t>
  </si>
  <si>
    <t>Žiadosť o realizáciu dávkovej platby - Tlač</t>
  </si>
  <si>
    <t>Realizácia trvalej platby </t>
  </si>
  <si>
    <t>Realizácia hromadnej platby </t>
  </si>
  <si>
    <t>Realizácia dávkovej platby </t>
  </si>
  <si>
    <t>Priame platby </t>
  </si>
  <si>
    <t>Limity pre jednotlivé platby </t>
  </si>
  <si>
    <t>Výzva na vrátenie platby </t>
  </si>
  <si>
    <t>Informácie o budúcej realizácií platby </t>
  </si>
  <si>
    <t>Platobné vzory </t>
  </si>
  <si>
    <t>Notifikácia o transakcií </t>
  </si>
  <si>
    <t>Autorizácia platby </t>
  </si>
  <si>
    <t>Notifikácia o neúspešnej realizácií platby </t>
  </si>
  <si>
    <t>Načítanie údajov platobného príkazu prostredníctvom skenovania </t>
  </si>
  <si>
    <t>Mylné platby - Pridanie</t>
  </si>
  <si>
    <t>Mylné platby - Zmena</t>
  </si>
  <si>
    <t>Mylné platby - Výzva na zrušenie zaplatenej SEPA platby</t>
  </si>
  <si>
    <t>Mylné platby - Výzva na potvrdenie pripísania zaplatenej platby</t>
  </si>
  <si>
    <t>Mylné platby - Detail</t>
  </si>
  <si>
    <t>Mylné platby - Podpísanie</t>
  </si>
  <si>
    <t>Mylné platby - História</t>
  </si>
  <si>
    <t>Mylné platby - História - Detail</t>
  </si>
  <si>
    <t>Výzva na vrátenie prijatej platby</t>
  </si>
  <si>
    <t>Výzva na vrátenie prijatej platby - Detail</t>
  </si>
  <si>
    <t>Výzva na vrátenie prijatej platby - Spracovanie</t>
  </si>
  <si>
    <t>Výzva na vrátenie prijatej platby - História</t>
  </si>
  <si>
    <t>Výzva na vrátenie prijatej platby - História - Detail</t>
  </si>
  <si>
    <t>Výzva na vrátenie prijatej platby - Tlač</t>
  </si>
  <si>
    <t>Priame platby</t>
  </si>
  <si>
    <t>Priame platby - Detail</t>
  </si>
  <si>
    <t>Priame platby - Vrátenie</t>
  </si>
  <si>
    <t>Priame platby - História</t>
  </si>
  <si>
    <t>Priame platby - História - Detail</t>
  </si>
  <si>
    <t>Informácia o budúcej realizácii platby</t>
  </si>
  <si>
    <t>Informácia o budúcej realizácii platby - Pridanie</t>
  </si>
  <si>
    <t>Informácia o budúcej realizácii platby - Zmena</t>
  </si>
  <si>
    <t>Informácia o budúcej realizácii platby - História</t>
  </si>
  <si>
    <t>Informácia o budúcej realizácii platby - História - Detail</t>
  </si>
  <si>
    <t>Rozpočtovanie</t>
  </si>
  <si>
    <t>Rozpočtovanie </t>
  </si>
  <si>
    <t>Rozpočet výdavkov na záväzných ukazovateľoch </t>
  </si>
  <si>
    <t>Rozpočet výdavkov </t>
  </si>
  <si>
    <t>Rozpočet príjmov </t>
  </si>
  <si>
    <t>Rozpočet príjmov - plnenie zdroja 72 </t>
  </si>
  <si>
    <t>Rozpočet výdavkov na SÚ </t>
  </si>
  <si>
    <t>Rozpočet príjmov na SÚ </t>
  </si>
  <si>
    <t>Prevod prostriedkov medzi RK na SÚ </t>
  </si>
  <si>
    <t>Rozpočet klienta - platnosť rozpočtov </t>
  </si>
  <si>
    <t>Žiadosť o vstup do záväzku </t>
  </si>
  <si>
    <t>Žiadosť o vstup do trvalého záväzku </t>
  </si>
  <si>
    <t>Prevod prostriedkov medzi záväzkami </t>
  </si>
  <si>
    <t>Zúčtovanie hotovostných preddavkov </t>
  </si>
  <si>
    <t>Zúčtovanie bezhotovostných preddavkov </t>
  </si>
  <si>
    <t>Rozpočet výdavkov na záväzných ukazovateľoch - Porovnanie</t>
  </si>
  <si>
    <t>Rozpočet výdavkov na záväzných ukazovateľoch - Detail</t>
  </si>
  <si>
    <t>Rozpočet výdavkov na záväzných ukazovateľoch - Spočítaj</t>
  </si>
  <si>
    <t>Rozpočet výdavkov na záväzných ukazovateľoch - Rozpočtové položky</t>
  </si>
  <si>
    <t>Rozpočet výdavkov - Detailný rozpis</t>
  </si>
  <si>
    <t>Rozpočet výdavkov - Detailný rozpis - Porovnanie</t>
  </si>
  <si>
    <t>Rozpočet výdavkov - Detailný rozpis - Spočítaj</t>
  </si>
  <si>
    <t>Rozpočet výdavkov - Detailný rozpis - Tlač</t>
  </si>
  <si>
    <t>Rozpočet výdavkov - Detailný rozpis - Export pre MS Excel</t>
  </si>
  <si>
    <t>Rozpočet výdavkov - Detailný rozpis - Záväzné ukazovatele</t>
  </si>
  <si>
    <t>Úpravy uplynulého rozpočtového roka</t>
  </si>
  <si>
    <t>Rozpočet príjmov - Detailný rozpis</t>
  </si>
  <si>
    <t>Rozpočet príjmov - Detailný rozpis - Zruš položku</t>
  </si>
  <si>
    <t>Rozpočet príjmov - Detailný rozpis - Protokol</t>
  </si>
  <si>
    <t>Rozpočet príjmov - Detailný rozpis - Spočítaj</t>
  </si>
  <si>
    <t>Rozpočet príjmov - Detailný rozpis - Tlač</t>
  </si>
  <si>
    <t>Rozpočet príjmov - Detailný rozpis - Export pre MS Excel</t>
  </si>
  <si>
    <t>Rozpočet príjmov - Plnenie zdroja 72 - Spočítaj</t>
  </si>
  <si>
    <t>Rozpočet príjmov - Plnenie zdroja 72 - Tlač</t>
  </si>
  <si>
    <t>Rozpočet príjmov - Plnenie zdroja 72 - Export pre MS Excel</t>
  </si>
  <si>
    <t>Rozpočet výdavkov na SÚ - Detailný rozpis</t>
  </si>
  <si>
    <t>Detailný rozpočet výdavkov na SÚ - Zruš položku</t>
  </si>
  <si>
    <t>Detailný rozpočet výdavkov na SÚ - Protokol</t>
  </si>
  <si>
    <t>Detailný rozpočet výdavkov na SÚ - Spočítaj</t>
  </si>
  <si>
    <t>Detailný rozpočet výdavkov na SÚ - Tlač</t>
  </si>
  <si>
    <t>Detailný rozpočet výdavkov na SÚ - Export pre MS Excel</t>
  </si>
  <si>
    <t>Rozpočet príjmov na SÚ - Detailný rozpis</t>
  </si>
  <si>
    <t>Rozpočet príjmov na SÚ - Detailný rozpis - Zruš položku</t>
  </si>
  <si>
    <t>Rozpočet príjmov na SÚ - Detailný rozpis - Protokol</t>
  </si>
  <si>
    <t>Rozpočet príjmov na SÚ - Spočítaj</t>
  </si>
  <si>
    <t>Rozpočet príjmov - Tlač</t>
  </si>
  <si>
    <t>Rozpočet príjmov - Export pre MS Excel</t>
  </si>
  <si>
    <t>Prevod prostriedkov medzi RK na SÚ</t>
  </si>
  <si>
    <t>Prevod prostriedkov medzi RK na SÚ - Pridanie</t>
  </si>
  <si>
    <t>Prevod prostriedkov medzi RK na SÚ - Zmena</t>
  </si>
  <si>
    <t>Prevod prostriedkov medzi RK na SÚ - Obmena</t>
  </si>
  <si>
    <t>Prevod prostriedkov medzi RK na SÚ - Detail</t>
  </si>
  <si>
    <t>Prevod prostriedkov medzi RK na SÚ - História</t>
  </si>
  <si>
    <t>Prevod prostriedkov medzi RK na SÚ - História - Detail</t>
  </si>
  <si>
    <t>Rozpočet klienta - Platnosť rozpočtov</t>
  </si>
  <si>
    <t>Žiadosť o vstup do záväzku - Pridanie</t>
  </si>
  <si>
    <t>Žiadosť o vstup do záväzku - Zmena</t>
  </si>
  <si>
    <t>Žiadosť o vstup do záväzku - Zmena označených</t>
  </si>
  <si>
    <t>Žiadosť o vstup do záväzku - Obmena</t>
  </si>
  <si>
    <t>Žiadosť o vstup do záväzku - Detail</t>
  </si>
  <si>
    <t>Žiadosť o vstup do záväzku - Vytvorenie platby</t>
  </si>
  <si>
    <t>Žiadosť o vstup do záväzku - Oprava RK záväzku</t>
  </si>
  <si>
    <t>Žiadosť o vstup do záväzku - História</t>
  </si>
  <si>
    <t>Žiadosť o vstup do záväzku - História - Detail</t>
  </si>
  <si>
    <t>Žiadosť o vstup do záväzku - Spočítaj</t>
  </si>
  <si>
    <t>Žiadosť o vstup do záväzku - Tlač</t>
  </si>
  <si>
    <t>Žiadosť o vstup do záväzku - Poplatková RK</t>
  </si>
  <si>
    <t>Žiadosť o vstup do záväzku - Detail poplatku</t>
  </si>
  <si>
    <t>Žiadosť o vstup do záväzku - Očakávané poplatky</t>
  </si>
  <si>
    <t>Žiadosť o vstup do trvalého záväzku - Pridanie</t>
  </si>
  <si>
    <t>Žiadosť o vstup do trvalého záväzku - Zmena</t>
  </si>
  <si>
    <t>Žiadosť o vstup do trvalého záväzku - Zrušenie</t>
  </si>
  <si>
    <t>Žiadosť o vstup do trvalého záväzku - Obmena</t>
  </si>
  <si>
    <t>Žiadosť o vstup do trvalého záväzku - Detail</t>
  </si>
  <si>
    <t>Žiadosť o vstup do trvalého záväzku - Generovanie</t>
  </si>
  <si>
    <t>Žiadosť o vstup do trvalého záväzku - Rozpísanie klasifikácie</t>
  </si>
  <si>
    <t>Žiadosť o vstup do trvalého záväzku - Podpísanie </t>
  </si>
  <si>
    <t>Žiadosť o vstup do trvalého záväzku - Zrušenie podpísania</t>
  </si>
  <si>
    <t>Žiadosť o vstup do trvalého záväzku - História</t>
  </si>
  <si>
    <t>Žiadosť o vstup do trvalého záväzku - História - Detail</t>
  </si>
  <si>
    <t>Prevod prostriedkov medzi záväzkami - Pridanie</t>
  </si>
  <si>
    <t>Prevod prostriedkov medzi záväzkami - Zmena</t>
  </si>
  <si>
    <t>Prevod prostriedkov medzi záväzkami - Obmena</t>
  </si>
  <si>
    <t>Prevod prostriedkov medzi záväzkami - Detail</t>
  </si>
  <si>
    <t>Prevod prostriedkov medzi záväzkami - História</t>
  </si>
  <si>
    <t>Prevod prostriedkov medzi záväzkami - História - Detail</t>
  </si>
  <si>
    <t>Zúčtovanie hotovostných preddavkov - Pridanie</t>
  </si>
  <si>
    <t>Zúčtovanie hotovostných preddavkov - Zmena</t>
  </si>
  <si>
    <t>Zúčtovanie hotovostných preddavkov - Detail</t>
  </si>
  <si>
    <t>Zúčtovanie hotovostných preddavkov - História</t>
  </si>
  <si>
    <t>Zúčtovanie hotovostných preddavkov - História - Detail</t>
  </si>
  <si>
    <t>Zúčtovanie hotovostných preddavkov - Tlač mesačný sumár a Tlač ročný sumár</t>
  </si>
  <si>
    <t>Zúčtovanie bezhotovostných preddavkov - Pridanie</t>
  </si>
  <si>
    <t>Zúčtovanie bezhotovostných preddavkov - Zmena</t>
  </si>
  <si>
    <t>Zúčtovanie bezhotovostných preddavkov - Detail</t>
  </si>
  <si>
    <t>Zúčtovanie bezhotovostných preddavkov - História</t>
  </si>
  <si>
    <t>Zúčtovanie bezhotovostných preddavkov - História - Detail</t>
  </si>
  <si>
    <t>Zúčtovanie bezhotovostných preddavkov - Tlač mesačný sumár a Tlač ročný sumár</t>
  </si>
  <si>
    <t>Vrátenie hot. preddavkov na rozpočtové výdavky</t>
  </si>
  <si>
    <t>Vrátenie hot. preddavkov na rozpočtové výdavky - Pridanie</t>
  </si>
  <si>
    <t>Vrátenie hot. preddavkov na rozpočtové výdavky - Zmena</t>
  </si>
  <si>
    <t>Vrátenie hot. preddavkov na rozpočtové výdavky - Detail</t>
  </si>
  <si>
    <t>Vrátenie hot. preddavkov na rozpočtové výdavky - História</t>
  </si>
  <si>
    <t>Vrátenie hot. preddavkov na rozpočtové výdavky - História - Detail</t>
  </si>
  <si>
    <t>Vrátenie hot. preddavkov na rozpočtové výdavky - Spočítaj</t>
  </si>
  <si>
    <t>Vrátenie bezhot. preddavkov na rozpočtové výdavky</t>
  </si>
  <si>
    <t>Vrátenie bezhot. preddavkov na rozpočtové výdavky - Pridanie</t>
  </si>
  <si>
    <t>Vrátenie bezhot. preddavkov na rozpočtové výdavky - Zmena</t>
  </si>
  <si>
    <t>Vrátenie bezhot. preddavkov na rozpočtové výdavky - Detail</t>
  </si>
  <si>
    <t>Vrátenie bezhot. preddavkov na rozpočtové výdavky - História</t>
  </si>
  <si>
    <t>Vrátenie bezhot. preddavkov na rozpočtové výdavky - História - Detail</t>
  </si>
  <si>
    <t>Vrátenie bezhot. preddavkov na rozpočtové výdavky - Spočítaj</t>
  </si>
  <si>
    <t>Žiadosť o vstup do záväzku - Refundácie</t>
  </si>
  <si>
    <t>Žiadosť o vstup do záväzku - Pridanie - Refundácie - Hromadné vytvorenie</t>
  </si>
  <si>
    <t>Žiadosť o vstup do záväzku - Zmena - Refundácie</t>
  </si>
  <si>
    <t>Žiadosť o vstup do záväzku - Detail - Refundácie</t>
  </si>
  <si>
    <t>Žiadosť o vstup do záväzku - Spočítaj - Refundácie</t>
  </si>
  <si>
    <t>Refundácie na SÚ</t>
  </si>
  <si>
    <t>Refundácie na SÚ - Pridanie</t>
  </si>
  <si>
    <t>Refundácie na SÚ - Zmena</t>
  </si>
  <si>
    <t>Refundácie na SÚ - Detail</t>
  </si>
  <si>
    <t>Refundácie na SÚ - Spočítaj</t>
  </si>
  <si>
    <t>Refundácie na SÚ - Automatické vysporiadanie kreditov</t>
  </si>
  <si>
    <t>Inkaso</t>
  </si>
  <si>
    <t>Súhlas s inkasom </t>
  </si>
  <si>
    <t>Prichádzajúci príkaz na inkaso </t>
  </si>
  <si>
    <t>Príkaz na inkaso </t>
  </si>
  <si>
    <t>Trvalý príkaz na inkaso </t>
  </si>
  <si>
    <t>Dávkový príkaz na inkaso </t>
  </si>
  <si>
    <t>Súhlas s inkasom - Detail</t>
  </si>
  <si>
    <t>Inkasá - Vytvor súhlas s inkasom</t>
  </si>
  <si>
    <t>Prichádzajúci príkaz na inkaso - Zamietni</t>
  </si>
  <si>
    <t>Prichádzajúci príkaz na inkaso - Vyžiadaj vrátenie</t>
  </si>
  <si>
    <t>Prichádzajúci príkaz na inkaso - Detail</t>
  </si>
  <si>
    <t>Prichádzajúci príkaz na inkaso - História</t>
  </si>
  <si>
    <t>Prichádzajúci príkaz na inkaso - História - Detail</t>
  </si>
  <si>
    <t>Príkaz na inkaso - Pridanie</t>
  </si>
  <si>
    <t>Príkaz na inkaso - Zmena</t>
  </si>
  <si>
    <t>Príkaz na inkaso - Obmena</t>
  </si>
  <si>
    <t>Príkaz na inkaso - Zrušenie filtrovaných</t>
  </si>
  <si>
    <t>Príkaz na inkaso - Vrátenie</t>
  </si>
  <si>
    <t>Príkaz na inkaso - Detail</t>
  </si>
  <si>
    <t>Príkaz na inkaso - História</t>
  </si>
  <si>
    <t>Príkaz na inkaso - História - Detail</t>
  </si>
  <si>
    <t>Príkaz na inkaso - Export zamietnutých príkazov</t>
  </si>
  <si>
    <t>Trvalý príkaz na inkaso - Pridanie</t>
  </si>
  <si>
    <t>Trvalý príkaz na inkaso - Zmena</t>
  </si>
  <si>
    <t>Trvalý príkaz na inkaso - Obmena</t>
  </si>
  <si>
    <t>Trvalý príkaz na inkaso - Zrušenie</t>
  </si>
  <si>
    <t>Trvalý príkaz na inkaso - Detail</t>
  </si>
  <si>
    <t>Trvalý príkaz na inkaso - Generovanie</t>
  </si>
  <si>
    <t>Trvalý príkaz na inkaso - História</t>
  </si>
  <si>
    <t>Trvalý príkaz na inkaso - História - Detail</t>
  </si>
  <si>
    <t>Dávkový príkaz na inkaso - Pridanie</t>
  </si>
  <si>
    <t>Dávkový príkaz na inkaso - Detail</t>
  </si>
  <si>
    <t>Dávkový príkaz na inkaso - Zobraz položky</t>
  </si>
  <si>
    <t>Dávkový príkaz na inkaso - Protokol</t>
  </si>
  <si>
    <t>Dávkový príkaz na inkaso - História</t>
  </si>
  <si>
    <t>Dávkový príkaz na inkaso - História - Detail</t>
  </si>
  <si>
    <t>Účet</t>
  </si>
  <si>
    <t>Žiadosť o zmenu účtu </t>
  </si>
  <si>
    <t>Žiadosť o založenie účtu </t>
  </si>
  <si>
    <t>Export transakcií </t>
  </si>
  <si>
    <t>Tlačové zostavy </t>
  </si>
  <si>
    <t>Účty klienta - Detail</t>
  </si>
  <si>
    <t>Účty klienta - Pohyby</t>
  </si>
  <si>
    <t>Účty klienta - Pohyby - Oprava RK</t>
  </si>
  <si>
    <t>Účty klienta - Pohyby - Detail</t>
  </si>
  <si>
    <t>Účty klienta - Pohyby - Spočítaj</t>
  </si>
  <si>
    <t>Účty klienta - Pohyby - Tlač</t>
  </si>
  <si>
    <t>Účty klienta - Hromadné účty - pohyby</t>
  </si>
  <si>
    <t>Účty klienta - Hromadné účty - pohyby - Detail</t>
  </si>
  <si>
    <t>Účty klienta - Hromadné účty - pohyby - Tlač</t>
  </si>
  <si>
    <t>Účty klienta - Debetné avíza</t>
  </si>
  <si>
    <t>Účty klienta - Debetné avíza - Detail</t>
  </si>
  <si>
    <t xml:space="preserve">Účty klienta - Debetné avíza - Tlač </t>
  </si>
  <si>
    <t>Účty klienta - Avíza - Detail potvrdenia o nezrealizovaní platby</t>
  </si>
  <si>
    <t>Účty klienta - Kreditné avíza</t>
  </si>
  <si>
    <t>Účty klienta - Avíza - Detail kreditného avíza</t>
  </si>
  <si>
    <t>Účty klienta - Avíza - Detail oznámenia o zaúčtovaní poplatku komerčnej banky</t>
  </si>
  <si>
    <t>Účty klienta - Kreditné avíza - Tlač</t>
  </si>
  <si>
    <t>Účty klienta - Kreditné avíza - Tlač - Správa pre
príjemcu</t>
  </si>
  <si>
    <t>Účty klienta - Výpisy</t>
  </si>
  <si>
    <t>Účty klienta - Výpisy - Zobrazenie</t>
  </si>
  <si>
    <t>Účty klienta - Vysporiadanie kreditov</t>
  </si>
  <si>
    <t>Účty klienta - Vysporiadané kredity - Vysporiadanie automatických prevodov</t>
  </si>
  <si>
    <t>Účty klienta - Oprava RK kreditu</t>
  </si>
  <si>
    <t>Účty klienta - Pohyby - Oprava RK pre označené pohyby</t>
  </si>
  <si>
    <t>Účty klienta - Pohyby - Oprava RK pre filtrované pohyby</t>
  </si>
  <si>
    <t>Žiadosť o založenie účtu - Pridanie</t>
  </si>
  <si>
    <t>Žiadosť o zmenu účtu - Pridanie</t>
  </si>
  <si>
    <t>Žiadosť o založenie účtu - Zmena</t>
  </si>
  <si>
    <t>Žiadosť o zmenu účtu - Zmena</t>
  </si>
  <si>
    <t>Žiadosť o založenie účtu - Detail</t>
  </si>
  <si>
    <t>Žiadosť o zmenu účtu - Detail</t>
  </si>
  <si>
    <t>Žiadosť o založenie/zmenu účtu - História</t>
  </si>
  <si>
    <t>Žiadosť o založenie/zmenu účtu - História - Detail</t>
  </si>
  <si>
    <t>Žiadosť o založenie/zmenu účtu - Tlač zmluvy/dodatku</t>
  </si>
  <si>
    <t>Termínovaný účet</t>
  </si>
  <si>
    <t>Termínované účty klienta - Pridanie</t>
  </si>
  <si>
    <t>Termínované účty klienta - Zmena</t>
  </si>
  <si>
    <t>Termínované účty klienta - Detail</t>
  </si>
  <si>
    <t>Termínované účty klienta - História</t>
  </si>
  <si>
    <t>Termínované účty klienta - História - Detail</t>
  </si>
  <si>
    <t>Všeobecná funkcionalita</t>
  </si>
  <si>
    <t>Prehľady transakcií </t>
  </si>
  <si>
    <t>Vyhľadávanie a filtrovanie </t>
  </si>
  <si>
    <t>Analytické údaje </t>
  </si>
  <si>
    <t>Správa notifikácií klienta </t>
  </si>
  <si>
    <t>Kurzový lístok </t>
  </si>
  <si>
    <t>Hromadné výpisy </t>
  </si>
  <si>
    <t>Funkcia štatutára </t>
  </si>
  <si>
    <t>Notifikácia klientov Štátnej pokladnice </t>
  </si>
  <si>
    <t>Prihlásenie do aplikácie </t>
  </si>
  <si>
    <t>Krátke správy </t>
  </si>
  <si>
    <t>Správy od Štátnej pokladnice </t>
  </si>
  <si>
    <t>IBAN generátor</t>
  </si>
  <si>
    <t>Vkladanie preddefinovaných údajov</t>
  </si>
  <si>
    <t>Definovanie vlastnej podmienky</t>
  </si>
  <si>
    <t>Vkladanie BIC kódov pri cezhraničných prevodoch</t>
  </si>
  <si>
    <t>Kalkulačka</t>
  </si>
  <si>
    <t>Voľnoformátové žiadosti - Pridanie</t>
  </si>
  <si>
    <t>Voľnoformátové žiadosti - Zmena</t>
  </si>
  <si>
    <t>Voľnoformátové žiadosti - Doplnenie</t>
  </si>
  <si>
    <t>Voľnoformátové žiadosti - Obmena</t>
  </si>
  <si>
    <t>Voľnoformátové žiadosti - Nadviazanie</t>
  </si>
  <si>
    <t>Voľnoformátové žiadosti - Detail</t>
  </si>
  <si>
    <t>Voľnoformátové žiadosti - História</t>
  </si>
  <si>
    <t>Voľnoformátové žiadosti - História - Detail</t>
  </si>
  <si>
    <t>Hromadné výpisy - Uloženie</t>
  </si>
  <si>
    <t>Hromadné výpisy - Zoznam</t>
  </si>
  <si>
    <t>Preddefinovaní príjemcovia</t>
  </si>
  <si>
    <t>Preddefinovaní príjemcovia - Pridanie</t>
  </si>
  <si>
    <t>Preddefinovaní príjemcovia - Zmena</t>
  </si>
  <si>
    <t>Preddefinovaní príjemcovia - Detail</t>
  </si>
  <si>
    <t>Preddefinovaní príjemcovia - Doplnenie z platby</t>
  </si>
  <si>
    <t>Preddefinovaní príjemcovia - História</t>
  </si>
  <si>
    <t>Preddefinovaní príjemcovia - História - Detail</t>
  </si>
  <si>
    <t>Krátke správy - Detail</t>
  </si>
  <si>
    <t>Krátke správy - Generuj správy</t>
  </si>
  <si>
    <t>Správy od Štátnej pokladnice - Odpoveď</t>
  </si>
  <si>
    <t>Správy od Štátnej pokladnice - Detail</t>
  </si>
  <si>
    <t>Sumárne prehľady rozpočtových zdrojov</t>
  </si>
  <si>
    <t>Sumárne prehľady - Záväzky</t>
  </si>
  <si>
    <t>Sumárne prehľady - Platby - čerpanie</t>
  </si>
  <si>
    <t>Sumárne prehľady - Príjmy - plnenie</t>
  </si>
  <si>
    <t>Sumárne prehľady - Čerpanie podľa RK</t>
  </si>
  <si>
    <t>Sumárne prehľady - Plnenie podľa RK</t>
  </si>
  <si>
    <t>Obnov stĺpce</t>
  </si>
  <si>
    <t>Obnov podmienky</t>
  </si>
  <si>
    <t>Oprava rozpočtovej klasifikácie po realizácii výdavku z rozpočtových účtov</t>
  </si>
  <si>
    <t>Podpisovanie žiadostí a dokumentov</t>
  </si>
  <si>
    <t>Overenie podpisu</t>
  </si>
  <si>
    <t>Príručka</t>
  </si>
  <si>
    <t>Integrácia - RIS</t>
  </si>
  <si>
    <t>Integrácia - RRP/LDAP</t>
  </si>
  <si>
    <t>Integrácia - Klientske systémy</t>
  </si>
  <si>
    <t>Integrácia ÚPVS IAM</t>
  </si>
  <si>
    <t>Integrácia RIAM</t>
  </si>
  <si>
    <t>Integrácia - AccoMan</t>
  </si>
  <si>
    <t>Integrácia - Plarex</t>
  </si>
  <si>
    <t>Integrácia - DISPO</t>
  </si>
  <si>
    <t>Integrácia - Výkazníctvo</t>
  </si>
  <si>
    <t>Nahlasovanie servisných požiadaviek klientov</t>
  </si>
  <si>
    <t>Nahlasovanie servisných požiadaviek klientov - oblasti</t>
  </si>
  <si>
    <t>Nahlasovanie servisných požiadaviek klientov - voľný text</t>
  </si>
  <si>
    <t>Integrácia na Servicemanager DC</t>
  </si>
  <si>
    <t>Prehľad nahlásených servisných požiadaviek</t>
  </si>
  <si>
    <t>Nový web ŠP</t>
  </si>
  <si>
    <t>Publikácia údajov na portály ŠP</t>
  </si>
  <si>
    <t>Doplnenie dávkových platieb</t>
  </si>
  <si>
    <t>Integrácia chatbot asistenta do nového webu ŠP</t>
  </si>
  <si>
    <t>Výpočet úroku</t>
  </si>
  <si>
    <t>Validácia dávkových platieb</t>
  </si>
  <si>
    <t>Zadávanie platobného príkazu</t>
  </si>
  <si>
    <t xml:space="preserve">Informovanie o zostatku na účte klienta </t>
  </si>
  <si>
    <t>História transakcií</t>
  </si>
  <si>
    <t xml:space="preserve">Poskytovanie informácií o dostupnosti peňažných prostriedkov </t>
  </si>
  <si>
    <t>Centrálny register klientov</t>
  </si>
  <si>
    <t>Automatická aktualizácia údajov</t>
  </si>
  <si>
    <t>História zmien údajov</t>
  </si>
  <si>
    <t>Riešenie konfliktov v údajoch</t>
  </si>
  <si>
    <t>Mobilná aplikácia</t>
  </si>
  <si>
    <t xml:space="preserve">Notifikácia klientov Štátnej pokladnice </t>
  </si>
  <si>
    <t>Notifikácia o transakcií</t>
  </si>
  <si>
    <t>Notifikácia o neúspešnej realizácií platby</t>
  </si>
  <si>
    <t>Autorizácia platby</t>
  </si>
  <si>
    <t xml:space="preserve">Autentifikácia cez mobilnú aplikáciu Štátnej pokladnice </t>
  </si>
  <si>
    <t>Načítanie údajov platobného príkazu prostredníctvom skenovania</t>
  </si>
  <si>
    <t>Aktivácia aplikácie klientom</t>
  </si>
  <si>
    <t>Prihlásenie do aplikcie</t>
  </si>
  <si>
    <t>Nastavenie aplikácie</t>
  </si>
  <si>
    <t>OAUTH2.0 support</t>
  </si>
  <si>
    <t>SAML</t>
  </si>
  <si>
    <t>2FA - TOTP/HOTP</t>
  </si>
  <si>
    <t>Identity Brokering</t>
  </si>
  <si>
    <t>Token mapper/Attribute mapper (optional)</t>
  </si>
  <si>
    <t>Adaptive Authentication</t>
  </si>
  <si>
    <t>Single Sign-On (SSO)</t>
  </si>
  <si>
    <t>Odoslanie údajov o používateľovi</t>
  </si>
  <si>
    <t>Zmena údajov používateľa</t>
  </si>
  <si>
    <t>Zmena hesla používateľa</t>
  </si>
  <si>
    <t>Rotovanie hesla na pravidelnej báze</t>
  </si>
  <si>
    <t>Zabezpečiť integráciu frontendových aplikácií</t>
  </si>
  <si>
    <t>Integrácia na mobilnú aplikáciu</t>
  </si>
  <si>
    <t>Štrukturovaná adresa</t>
  </si>
  <si>
    <t>Oddelené údaje klientov a používateľov ŠP</t>
  </si>
  <si>
    <t>Integrácia na KYC</t>
  </si>
  <si>
    <r>
      <t>Trvalé platby</t>
    </r>
    <r>
      <rPr>
        <b/>
        <sz val="10"/>
        <rFont val="Times New Roman"/>
        <family val="1"/>
      </rPr>
      <t> </t>
    </r>
  </si>
  <si>
    <r>
      <t>Trvalý príkaz</t>
    </r>
    <r>
      <rPr>
        <b/>
        <sz val="10"/>
        <rFont val="Times New Roman"/>
        <family val="1"/>
      </rPr>
      <t> </t>
    </r>
  </si>
  <si>
    <r>
      <t>Výzvy (Zrušenie platby)</t>
    </r>
    <r>
      <rPr>
        <b/>
        <sz val="10"/>
        <rFont val="Times New Roman"/>
        <family val="1"/>
      </rPr>
      <t> </t>
    </r>
  </si>
  <si>
    <r>
      <t>Okamžitá platba (TIPS)</t>
    </r>
    <r>
      <rPr>
        <b/>
        <sz val="10"/>
        <rFont val="Times New Roman"/>
        <family val="1"/>
      </rPr>
      <t> </t>
    </r>
  </si>
  <si>
    <r>
      <t>Tuzemský prevod</t>
    </r>
    <r>
      <rPr>
        <b/>
        <sz val="10"/>
        <rFont val="Times New Roman"/>
        <family val="1"/>
      </rPr>
      <t> </t>
    </r>
  </si>
  <si>
    <r>
      <t>SEPA prevod</t>
    </r>
    <r>
      <rPr>
        <b/>
        <sz val="10"/>
        <rFont val="Times New Roman"/>
        <family val="1"/>
      </rPr>
      <t> </t>
    </r>
  </si>
  <si>
    <r>
      <t>Cezhraničný prevod (SWIFT,..)</t>
    </r>
    <r>
      <rPr>
        <b/>
        <sz val="10"/>
        <rFont val="Times New Roman"/>
        <family val="1"/>
      </rPr>
      <t> </t>
    </r>
  </si>
  <si>
    <r>
      <t>Súrna platobná operácia</t>
    </r>
    <r>
      <rPr>
        <b/>
        <sz val="10"/>
        <rFont val="Times New Roman"/>
        <family val="1"/>
      </rPr>
      <t> </t>
    </r>
  </si>
  <si>
    <r>
      <t>Prioritná platobná operácia</t>
    </r>
    <r>
      <rPr>
        <b/>
        <sz val="10"/>
        <rFont val="Times New Roman"/>
        <family val="1"/>
      </rPr>
      <t> </t>
    </r>
  </si>
  <si>
    <r>
      <t>Príkaz na inkaso</t>
    </r>
    <r>
      <rPr>
        <b/>
        <sz val="10"/>
        <rFont val="Times New Roman"/>
        <family val="1"/>
      </rPr>
      <t> </t>
    </r>
  </si>
  <si>
    <t>Súhlas na inkaso</t>
  </si>
  <si>
    <r>
      <t>Disponovanie účtom</t>
    </r>
    <r>
      <rPr>
        <b/>
        <sz val="10"/>
        <rFont val="Times New Roman"/>
        <family val="1"/>
      </rPr>
      <t> </t>
    </r>
  </si>
  <si>
    <r>
      <t>Prehľad transakcií</t>
    </r>
    <r>
      <rPr>
        <b/>
        <sz val="10"/>
        <rFont val="Times New Roman"/>
        <family val="1"/>
      </rPr>
      <t> </t>
    </r>
  </si>
  <si>
    <r>
      <t>Vedenie účtu</t>
    </r>
    <r>
      <rPr>
        <b/>
        <sz val="10"/>
        <rFont val="Times New Roman"/>
        <family val="1"/>
      </rPr>
      <t> </t>
    </r>
  </si>
  <si>
    <r>
      <t>Export transakcií</t>
    </r>
    <r>
      <rPr>
        <b/>
        <sz val="10"/>
        <rFont val="Times New Roman"/>
        <family val="1"/>
      </rPr>
      <t> </t>
    </r>
  </si>
  <si>
    <r>
      <t>Informácie o transakciách</t>
    </r>
    <r>
      <rPr>
        <b/>
        <sz val="10"/>
        <rFont val="Times New Roman"/>
        <family val="1"/>
      </rPr>
      <t> </t>
    </r>
  </si>
  <si>
    <r>
      <t>Rozpočtovanie</t>
    </r>
    <r>
      <rPr>
        <b/>
        <sz val="10"/>
        <rFont val="Times New Roman"/>
        <family val="1"/>
      </rPr>
      <t> </t>
    </r>
  </si>
  <si>
    <r>
      <t>Trvalé záväzky</t>
    </r>
    <r>
      <rPr>
        <b/>
        <sz val="10"/>
        <rFont val="Times New Roman"/>
        <family val="1"/>
      </rPr>
      <t> </t>
    </r>
  </si>
  <si>
    <t>Ne-Funkcna poziadavka</t>
  </si>
  <si>
    <t>Bezpečnosť</t>
  </si>
  <si>
    <t>HTTPS protokol</t>
  </si>
  <si>
    <t>Štandardy bezpečnosti</t>
  </si>
  <si>
    <t>Bezpečnosť na úrovni systému</t>
  </si>
  <si>
    <t>Stále logovanie aktivít</t>
  </si>
  <si>
    <t>Požiadavka na súlad so zákonom o kybernetickej bezpečnosti č. 69/2018 Z. z.</t>
  </si>
  <si>
    <t>Požiadavka na súlad s metodikou zabezpečenia</t>
  </si>
  <si>
    <t>Požiadavka na súlad s Vyhláškou k spôsobom kategorizácie a obsahu bezpečnostných opatrení ITVS č. 179/2020 Z.z.</t>
  </si>
  <si>
    <t>Požiadavka na súlad s ISO/IES 27000</t>
  </si>
  <si>
    <t>Požiadavka na súlad s Vyhláškou k obsahu bezpečnostných opatrení, k obsahu a štruktúre bezpečnostnej dokumentácie a k rozsahu všeobecných bezpečnostných opatrení č. 362/2018 Z.z.</t>
  </si>
  <si>
    <t>Požiadavka na súlad so zákonom o kritickej infraštruktúre č. 45/2011 Z. z.</t>
  </si>
  <si>
    <t>Iné</t>
  </si>
  <si>
    <t>Zdrojové kódy</t>
  </si>
  <si>
    <t>Legislatíva</t>
  </si>
  <si>
    <t>PM</t>
  </si>
  <si>
    <t>Projektové riadenie</t>
  </si>
  <si>
    <t>System</t>
  </si>
  <si>
    <t>Prostredia</t>
  </si>
  <si>
    <t>Rozhranie 1</t>
  </si>
  <si>
    <t>Rozhranie 2</t>
  </si>
  <si>
    <t>Rozhranie 3</t>
  </si>
  <si>
    <t>Rozhranie 4</t>
  </si>
  <si>
    <t>Archivácia</t>
  </si>
  <si>
    <t xml:space="preserve">UI/UX </t>
  </si>
  <si>
    <t>Dostupnosť 1</t>
  </si>
  <si>
    <t>Dostupnosť 2</t>
  </si>
  <si>
    <t>Výkonnosť 1</t>
  </si>
  <si>
    <t>Výkonnosť 2</t>
  </si>
  <si>
    <t>Odozva</t>
  </si>
  <si>
    <t>Logovanie</t>
  </si>
  <si>
    <t>Dostupnosť 3</t>
  </si>
  <si>
    <t>Realizácia</t>
  </si>
  <si>
    <t>Prevádzka 1</t>
  </si>
  <si>
    <t>Inštalácia riešenia</t>
  </si>
  <si>
    <t>Šifrovaná komunikácia</t>
  </si>
  <si>
    <t>Webové prehliadače</t>
  </si>
  <si>
    <t>Školenie</t>
  </si>
  <si>
    <t>Školenie administrátorov</t>
  </si>
  <si>
    <t>Školenie formou workshop</t>
  </si>
  <si>
    <t>Testovanie</t>
  </si>
  <si>
    <t>Realizácia testovania</t>
  </si>
  <si>
    <t>Výkonnostné testy</t>
  </si>
  <si>
    <t>UX testy</t>
  </si>
  <si>
    <t>Akceptačné testy</t>
  </si>
  <si>
    <t>Bezpečnostné testy</t>
  </si>
  <si>
    <t>Integračné testy</t>
  </si>
  <si>
    <t>Metódy testovania</t>
  </si>
  <si>
    <t>Postupnosť aktivít pri testovaní</t>
  </si>
  <si>
    <t>SLA</t>
  </si>
  <si>
    <t>Podpora prevádzky</t>
  </si>
  <si>
    <t>Služby úplnej prevádzky</t>
  </si>
  <si>
    <t>Operačný systém- Licencie</t>
  </si>
  <si>
    <t>Databázový systém</t>
  </si>
  <si>
    <t>Databázový systém - manažment a diagnostika</t>
  </si>
  <si>
    <t>Databázový systém - vysoká výkonnosť</t>
  </si>
  <si>
    <t>Databázový systém - vysoká dostupnosť</t>
  </si>
  <si>
    <t>Databázový systém - bezpečnosť</t>
  </si>
  <si>
    <t xml:space="preserve">Analýza -Bankové systémy </t>
  </si>
  <si>
    <t>Analýza dopadov endian konverzie</t>
  </si>
  <si>
    <t>Identifikácia serverov na migráciu</t>
  </si>
  <si>
    <t>Analýza licencovania (napr. Tableau)</t>
  </si>
  <si>
    <t xml:space="preserve">Design-Bankové systémy </t>
  </si>
  <si>
    <t>Zmena IP adries, domén, sieťových prestupov</t>
  </si>
  <si>
    <t xml:space="preserve"> Migrácia do IaaS prostredia v RPC</t>
  </si>
  <si>
    <t>Výmena TLS certifikátov pri migrácii QxHub</t>
  </si>
  <si>
    <t>Návrh migračného postupu</t>
  </si>
  <si>
    <t>Návrh DR architektúry v RPC</t>
  </si>
  <si>
    <t xml:space="preserve">Implementácia-Bankové systémy </t>
  </si>
  <si>
    <t>Prenos Oracle DB – endian konverzia</t>
  </si>
  <si>
    <t>Klonovanie VM cez VMware</t>
  </si>
  <si>
    <t xml:space="preserve">Zmena domén a konfigurácií </t>
  </si>
  <si>
    <t>Konverzia dátových súborov cez RMAN</t>
  </si>
  <si>
    <t>Import dát do cieľovej Oracle DB</t>
  </si>
  <si>
    <t>Migrácia dát Vertica</t>
  </si>
  <si>
    <t>Migrácia Tableau</t>
  </si>
  <si>
    <t xml:space="preserve">Implementácia DR prostredia </t>
  </si>
  <si>
    <t xml:space="preserve">Testovanie-Bankové systémy </t>
  </si>
  <si>
    <t>Testovanie funkcionality, integrácie a výkonnosti</t>
  </si>
  <si>
    <t>Bezpečnostné testy (viaceré fázy)</t>
  </si>
  <si>
    <t>Testovanie konzistencie dát po migrácii</t>
  </si>
  <si>
    <t xml:space="preserve">Nasadenie-Bankové systémy </t>
  </si>
  <si>
    <t xml:space="preserve">Migrácia produkčných databáz (QP0, QPA) </t>
  </si>
  <si>
    <t xml:space="preserve">Migrácia produkčných aplikačných serverov </t>
  </si>
  <si>
    <t>DR režim pre produkčné systémy</t>
  </si>
  <si>
    <t>Analýza -Platobná brána</t>
  </si>
  <si>
    <t>Analýza dopadov pri presune podpisovej mikroslužby</t>
  </si>
  <si>
    <t>Návrh spôsobu výmeny podpisového kľúča a CRL</t>
  </si>
  <si>
    <t xml:space="preserve"> Posúdenie požiadaviek na CI/CD</t>
  </si>
  <si>
    <t>Design-Platobná brána</t>
  </si>
  <si>
    <t>Presun podpisovej mikroslužby na aplikačné servery</t>
  </si>
  <si>
    <t>Návrh CI/CD v RPC</t>
  </si>
  <si>
    <t>Návrh procesu výmeny podpisového kľúča + CRL</t>
  </si>
  <si>
    <t>Návrh migrácie databázy</t>
  </si>
  <si>
    <t>Implementácia-Platobná brána</t>
  </si>
  <si>
    <t>Rekonfigurácia podpisovej mikroslužby pre HW HSM</t>
  </si>
  <si>
    <t>Push zdrojových kódov z DXC do RPC CI/CD</t>
  </si>
  <si>
    <t>Migrácia databázy PBŠP</t>
  </si>
  <si>
    <t>Testovanie-Platobná brána</t>
  </si>
  <si>
    <t>Test CI/CD v RPC</t>
  </si>
  <si>
    <t xml:space="preserve"> Test podpisovej mikroslužby s HW HSM</t>
  </si>
  <si>
    <t>Test databázovej funkcionality po migrácii</t>
  </si>
  <si>
    <t>Nasadenie-Platobná brána</t>
  </si>
  <si>
    <t>Produkčné nasadenie aplikačných služieb PBŠP v RPC</t>
  </si>
  <si>
    <t>Vytvorenie DR prostredia v RPC ZVS</t>
  </si>
  <si>
    <t>Nasadenie DR procesov</t>
  </si>
  <si>
    <t xml:space="preserve">Analýza -Klientska zóna </t>
  </si>
  <si>
    <t xml:space="preserve">Príprava RPC Onboarding dokumentu </t>
  </si>
  <si>
    <t xml:space="preserve">Príprava RPC Zriadenie Tenanta </t>
  </si>
  <si>
    <t xml:space="preserve">Stanovenie fáz migrácie a ich obsahu </t>
  </si>
  <si>
    <t xml:space="preserve">Stanovenie časového plánu a deployment plánu </t>
  </si>
  <si>
    <t xml:space="preserve">Stanovenie spôsobu testovania a akceptácie </t>
  </si>
  <si>
    <t xml:space="preserve">Analýza dopadov </t>
  </si>
  <si>
    <t xml:space="preserve">Stanovenie požadovanej súčinnosti a určenie zodpovednosti za jednotlivé *aaS </t>
  </si>
  <si>
    <t xml:space="preserve">Stanovenie cieľov a ukazovateľov využitia PaaS </t>
  </si>
  <si>
    <t xml:space="preserve">Stanovenie cieľov a ukazovateľov DR </t>
  </si>
  <si>
    <t xml:space="preserve">Stanovenie požadovanej súčinnosti a určenie zodpovednosti za jednotlivé *aaS a za postupy a opatrenia DR </t>
  </si>
  <si>
    <t xml:space="preserve">Design -Klientska zóna </t>
  </si>
  <si>
    <t>Návrh cieľovej architektúry</t>
  </si>
  <si>
    <t xml:space="preserve">Návrh modelu zdieľanej zodpovednosti / SLA </t>
  </si>
  <si>
    <t>Návrh prevádzková dokumentácie</t>
  </si>
  <si>
    <t xml:space="preserve">Implementácia -Klientska zóna </t>
  </si>
  <si>
    <t>RPC infraštruktúra</t>
  </si>
  <si>
    <t>Inštalácia platformových služieb / prostriedkov</t>
  </si>
  <si>
    <t>Migrácia TEST prostredia</t>
  </si>
  <si>
    <t xml:space="preserve">Migrácia PROD prostredia </t>
  </si>
  <si>
    <t xml:space="preserve">Implementácia prepojenia na CI/CD a monitoring </t>
  </si>
  <si>
    <t xml:space="preserve">Implementácia postupov a opatrení DR </t>
  </si>
  <si>
    <t xml:space="preserve">Testovanie-Klientska zóna </t>
  </si>
  <si>
    <t xml:space="preserve">Testovanie integrácii a funkčnosti </t>
  </si>
  <si>
    <t xml:space="preserve">Záťažové testy </t>
  </si>
  <si>
    <t xml:space="preserve">Penetračné testy </t>
  </si>
  <si>
    <t xml:space="preserve">Nasadenie -Klientska zóna </t>
  </si>
  <si>
    <t xml:space="preserve">Nasadenie TEST prostredia </t>
  </si>
  <si>
    <t xml:space="preserve">Nasadenie PROD prostredia </t>
  </si>
  <si>
    <t xml:space="preserve">Prevádzka-Klientska zóna </t>
  </si>
  <si>
    <t xml:space="preserve">Sledovanie parametrov systému a pravidelné vyhodnocovanie </t>
  </si>
  <si>
    <t xml:space="preserve">Pravidelné vykonávanie failover </t>
  </si>
  <si>
    <t>Analýza -BPM</t>
  </si>
  <si>
    <t>Príprava RPC Zriadenie Tenanta</t>
  </si>
  <si>
    <t>Stanovenie spôsobu testovania a akceptácie</t>
  </si>
  <si>
    <t>Analýza dopadov</t>
  </si>
  <si>
    <t>Stanovenie požadovanej súčinnosti a určenie zodpovednosti za jednotlivé *aaS</t>
  </si>
  <si>
    <t>Stanovenie cieľov a ukazovateľov využitia PaaS</t>
  </si>
  <si>
    <t>Stanovenie cieľov a ukazovateľov DR</t>
  </si>
  <si>
    <t>Design -BPM</t>
  </si>
  <si>
    <t>Implementácia -BPM</t>
  </si>
  <si>
    <t xml:space="preserve">Migrácia TEST prostredia </t>
  </si>
  <si>
    <t xml:space="preserve">Migrácia PARA prostredia </t>
  </si>
  <si>
    <t>Testovanie-BPM</t>
  </si>
  <si>
    <t>Nasadenie -BPM</t>
  </si>
  <si>
    <t xml:space="preserve">Nasadenie PARA a PROD prostredia </t>
  </si>
  <si>
    <t>Prevádzka -BPM</t>
  </si>
  <si>
    <t xml:space="preserve">Analýza -SmartPOS framework </t>
  </si>
  <si>
    <t xml:space="preserve">Design -SmartPOS framework </t>
  </si>
  <si>
    <t xml:space="preserve">Implementácia -SmartPOS framework </t>
  </si>
  <si>
    <t xml:space="preserve">Nasadenie -SmartPOS framework </t>
  </si>
  <si>
    <t xml:space="preserve">Nasadenie nových komponentov a migrácia existujúcich </t>
  </si>
  <si>
    <t xml:space="preserve">Testovanie-SmartPOS framework </t>
  </si>
  <si>
    <t xml:space="preserve">Prevádzka -SmartPOS framework </t>
  </si>
  <si>
    <t>Analýza-SAP ERP</t>
  </si>
  <si>
    <t>Analýza závislostí SAP ERP</t>
  </si>
  <si>
    <t>Posúdenie SAP landscape a poradia migrácie</t>
  </si>
  <si>
    <t>Analýza -SAP ERP</t>
  </si>
  <si>
    <t>Design-SAP ERP</t>
  </si>
  <si>
    <t>Návrh heterogénnej migrácie DB vrstvy</t>
  </si>
  <si>
    <t>Návrh homogénnej migrácie aplikačnej vrstvy</t>
  </si>
  <si>
    <t>Integrácia s SAP Solution Manager</t>
  </si>
  <si>
    <t>Implementácia-SAP ERP</t>
  </si>
  <si>
    <t>Migrácia Oracle DB vrstvy – DEV</t>
  </si>
  <si>
    <t>Migrácia Oracle DB vrstvy – TEST</t>
  </si>
  <si>
    <t>Migrácia Oracle DB vrstvy – PROD</t>
  </si>
  <si>
    <t>Migrácia aplikačnej vrstvy UCD, UCT, USP</t>
  </si>
  <si>
    <t>Zaradenie systémov do SAP Solution Managera</t>
  </si>
  <si>
    <t>Testovanie-SAP ERP</t>
  </si>
  <si>
    <t>Test funkčnosti po migrácii DB vrstvy</t>
  </si>
  <si>
    <t>Test aplikačnej vrstvy po migrácii</t>
  </si>
  <si>
    <t>Nasadenie-SAP ERP</t>
  </si>
  <si>
    <t>Produkčné nasadenie databázovej vrstvy</t>
  </si>
  <si>
    <t>Produkčné nasadenie aplikačnej vrstvy</t>
  </si>
  <si>
    <t>Finalizácia SAP managed systémov</t>
  </si>
  <si>
    <t>Prevádzka -SAP ERP</t>
  </si>
  <si>
    <t>Analýza-SAP BW</t>
  </si>
  <si>
    <t>Analýza závislostí SAP BW</t>
  </si>
  <si>
    <t>Posúdenie SAP BW landscape</t>
  </si>
  <si>
    <t>Analýza -SAP BW</t>
  </si>
  <si>
    <t>Design-SAP BW</t>
  </si>
  <si>
    <t>Integrácia do SAP Solution Manager</t>
  </si>
  <si>
    <t>Implementácia-SAP BW</t>
  </si>
  <si>
    <t>Migrácia aplikačnej vrstvy BWD, BWT, BSP</t>
  </si>
  <si>
    <t>Zaradenie systémov do SAP Solution Manager</t>
  </si>
  <si>
    <t>Testovanie-SAP BW</t>
  </si>
  <si>
    <t>Test konzistencie DB vrstvy po migrácii</t>
  </si>
  <si>
    <t>Test aplikačných procesov SAP BW</t>
  </si>
  <si>
    <t>Nasadenie-SAP BW</t>
  </si>
  <si>
    <t>Nasadenie produkčnej DB vrstvy</t>
  </si>
  <si>
    <t>Nasadenie produkčnej aplikačnej vrstvy</t>
  </si>
  <si>
    <t>Aktivácia systémov v SAP Solution Manager</t>
  </si>
  <si>
    <t>Prevádzka -SAP BW</t>
  </si>
  <si>
    <t>Analýza-SAP BOBJ</t>
  </si>
  <si>
    <t>Analýza závislostí SAP BOBJ</t>
  </si>
  <si>
    <t>Design-SAP BOBJ</t>
  </si>
  <si>
    <t>Návrh migrácie prostredí SAP BOBJ</t>
  </si>
  <si>
    <t>Implementácia-SAP BOBJ</t>
  </si>
  <si>
    <t>Migrácia systému SBT</t>
  </si>
  <si>
    <t>Migrácia systému SBP</t>
  </si>
  <si>
    <t>Testovanie-SAP BOBJ</t>
  </si>
  <si>
    <t>Nasadenie-SAP BOBJ</t>
  </si>
  <si>
    <t>Nasadenie SBP systému</t>
  </si>
  <si>
    <t>Prevádzka -SAP BOBJ</t>
  </si>
  <si>
    <t xml:space="preserve">Analýza -SAP Portál </t>
  </si>
  <si>
    <t>Analýza závislostí SAP Portál</t>
  </si>
  <si>
    <t xml:space="preserve">Design-SAP Portál </t>
  </si>
  <si>
    <t>Návrh migrácie DB vrstvy</t>
  </si>
  <si>
    <t>Návrh migrácie JAVA aplikačnej vrstvy</t>
  </si>
  <si>
    <t xml:space="preserve">Implementácia-SAP Portál </t>
  </si>
  <si>
    <t>Migrácia DB systému POT</t>
  </si>
  <si>
    <t>Migrácia DB systému POP</t>
  </si>
  <si>
    <t>Migrácia aplikačnej vrstvy POT</t>
  </si>
  <si>
    <t>Migrácia aplikačnej vrstvy POP</t>
  </si>
  <si>
    <t xml:space="preserve">Testovanie-SAP Portál </t>
  </si>
  <si>
    <t xml:space="preserve">Nasadenie-SAP Portál </t>
  </si>
  <si>
    <t>Zaradenie do SAP Solution Manager</t>
  </si>
  <si>
    <t xml:space="preserve">Prevádzka -SAP Portál </t>
  </si>
  <si>
    <t>Analýza-SAP ADS</t>
  </si>
  <si>
    <t>Analýza závislostí SAP ADS</t>
  </si>
  <si>
    <t>Analýza -SAP ADS</t>
  </si>
  <si>
    <t>Design-SAP ADS</t>
  </si>
  <si>
    <t>Návrh migrácie databázovej vrstvy</t>
  </si>
  <si>
    <t>Návrh migrácie aplikačnej vrstvy</t>
  </si>
  <si>
    <t>Implementácia-SAP ADS</t>
  </si>
  <si>
    <t>Migrácia databázy SAP ADS</t>
  </si>
  <si>
    <t>Migrácia aplikačnej vrstvy SAP ADS</t>
  </si>
  <si>
    <t>Testovanie-SAP ADS</t>
  </si>
  <si>
    <t>Nasadenie-SAP ADS</t>
  </si>
  <si>
    <t>Finalizácia a zaradenie systému</t>
  </si>
  <si>
    <t>Prevádzka -SAP ADS</t>
  </si>
  <si>
    <t>Analýza -SAP PI/PO</t>
  </si>
  <si>
    <t xml:space="preserve">Analýza závislostí SAP PI/PO systémov </t>
  </si>
  <si>
    <t>Preskúmanie všetkých súčastí SAP PI/PO</t>
  </si>
  <si>
    <t>Design-SAP PI/PO</t>
  </si>
  <si>
    <t xml:space="preserve">Návrh migrácie databázovej vrstvy </t>
  </si>
  <si>
    <t>Implementácia-SAP PI/PO</t>
  </si>
  <si>
    <t>Migrácia databázy Oracle DB</t>
  </si>
  <si>
    <t xml:space="preserve">Migrácia aplikačnej vrstvy (NW ABAP/JAVA) </t>
  </si>
  <si>
    <t>Testovanie-SAP PI/PO</t>
  </si>
  <si>
    <t>Nasadenie -SAP PI/PO</t>
  </si>
  <si>
    <t>Prevádzka -SAP PI/PO</t>
  </si>
  <si>
    <t>Analýza -OpenText</t>
  </si>
  <si>
    <t>Analýza závislostí systému</t>
  </si>
  <si>
    <t>Design-OpenText</t>
  </si>
  <si>
    <t>Stanovenie poradia migrácie prostredí</t>
  </si>
  <si>
    <t>Implementácia-OpenText</t>
  </si>
  <si>
    <t>Migrácia databázovej vrstvy</t>
  </si>
  <si>
    <t>Migrácia aplikačnej vrstvy</t>
  </si>
  <si>
    <t>Koordinácia migrácií prostredí</t>
  </si>
  <si>
    <t>Testovanie-OpenText</t>
  </si>
  <si>
    <t>Nasadenie-OpenText</t>
  </si>
  <si>
    <t>Prechod do produkčného prostredia</t>
  </si>
  <si>
    <t>Prevádzka -OpenText</t>
  </si>
  <si>
    <t xml:space="preserve">Analýza-SAP Solution Manager </t>
  </si>
  <si>
    <t>Zhodnotenie existujúcej SAP Solution Manager infraštruktúry</t>
  </si>
  <si>
    <t>Plánovanie integrácie zmigrovaných SAP systémov</t>
  </si>
  <si>
    <t xml:space="preserve">Design-SAP Solution Manager </t>
  </si>
  <si>
    <t>Návrh novej SAP Solution Manager infraštruktúry</t>
  </si>
  <si>
    <t>Návrh konfigurácie integrácie SAP systémov</t>
  </si>
  <si>
    <t xml:space="preserve">Implementácia-SAP Solution Manager </t>
  </si>
  <si>
    <t>Inštalácia nového SAP Solution Manager landscape</t>
  </si>
  <si>
    <t>Migrácia aplikačnej vrstvy SAP systémov IŠSP</t>
  </si>
  <si>
    <t>Konfigurácia SAP managed systémov</t>
  </si>
  <si>
    <t xml:space="preserve">Testovanie-SAP Solution Manager </t>
  </si>
  <si>
    <t>Testovanie správy zmigrovaných SAP systémov</t>
  </si>
  <si>
    <t>Testovanie komunikácie medzi systémami</t>
  </si>
  <si>
    <t xml:space="preserve">Nasadenie-SAP Solution Manager </t>
  </si>
  <si>
    <t>Podpora a monitoring po nasadení</t>
  </si>
  <si>
    <t xml:space="preserve">Prevádzka -SAP Solution Manager </t>
  </si>
  <si>
    <t xml:space="preserve">Analýza-Monitoring / Observability </t>
  </si>
  <si>
    <t>Preskúmanie súčasného monitorovacieho riešenia (Zabbix)</t>
  </si>
  <si>
    <t>Vyhodnotenie požiadaviek na monitoring v RPC prostredí</t>
  </si>
  <si>
    <t>Plánovanie fázy migrácie a DR riešenia</t>
  </si>
  <si>
    <t xml:space="preserve">Design-Monitoring / Observability </t>
  </si>
  <si>
    <t>Návrh migrácie existujúceho monitoringu do RPC</t>
  </si>
  <si>
    <t>Návrh riešenia pre DR (Disaster Recovery)</t>
  </si>
  <si>
    <t>Definícia požiadaviek na redundanciu a dostupnosť monitoringu</t>
  </si>
  <si>
    <t xml:space="preserve">Implementácia-Monitoring / Observability </t>
  </si>
  <si>
    <t>Migrácia Zabbix inštalácie do RPC (Fáza 1)</t>
  </si>
  <si>
    <t>Konfigurácia monitoringu pre všetky relevantné systémy</t>
  </si>
  <si>
    <t>Vytvorenie DR infraštruktúry Zabbix v ZVS (Fáza 2)</t>
  </si>
  <si>
    <t xml:space="preserve">Testovanie-Monitoring / Observability </t>
  </si>
  <si>
    <t>Testovanie DR riešenia</t>
  </si>
  <si>
    <t xml:space="preserve">Nasadenie-Monitoring / Observability </t>
  </si>
  <si>
    <t>Prechod na novú monitorovaciu infraštruktúru v produkcii</t>
  </si>
  <si>
    <t>Prevádzka a údržba DR riešenia</t>
  </si>
  <si>
    <t xml:space="preserve">Prevádzka -Monitoring / Observability </t>
  </si>
  <si>
    <t>Transakčné jadro</t>
  </si>
  <si>
    <t>Umožnenie paralelného účtovania klientskych a prevádzkových transakcií nemeniacich disponiiblný zostatok</t>
  </si>
  <si>
    <t>Zavedenie krátkodobej klientskej blokácie CR transakcií</t>
  </si>
  <si>
    <t>Zavedenie krátkodobej klientskej blokácie DB transakcií</t>
  </si>
  <si>
    <t>Zohľadnenie krátkodobých blokácií v disponibilných zostatkoch klientskych účtov</t>
  </si>
  <si>
    <t>Zavedenie väzieb medzi krátkodobými klientskymi blokáciami</t>
  </si>
  <si>
    <t>Zavedenie procesu transformácie krátkodobých klietnskych blokácií na klientske transakcie</t>
  </si>
  <si>
    <t>Zavedenie systému pre umožnenie postupnej transaformácie večernej uzávierky na neblokujúci proces</t>
  </si>
  <si>
    <t>Zavedenie subčasti systému pre umožnenie vyňatia väzieb na platobný styk SEPA z klientskeho transakčného jadra</t>
  </si>
  <si>
    <t>Zavedenie krátkodobej prevádzkovej blokácie CR transakcií</t>
  </si>
  <si>
    <t>Zavedenie krátkodobej prevádzkovej blokácie DB transakcií</t>
  </si>
  <si>
    <t>Zavedenie väzieb medzi krátkodobými prevádzkovými a klientskymi blokáciami</t>
  </si>
  <si>
    <t>Zavedenie procesu transformácie krátkodobých prevádzkových blokácií na klientske transakcie</t>
  </si>
  <si>
    <t>Implementácia mechanizmu na uzavretie účtovného dňa pre krátkodobé klientske blokácie a klientske transakcie</t>
  </si>
  <si>
    <t>Transakčné jadro - biznis logika</t>
  </si>
  <si>
    <t>Zavedenie krátkodobých klientskych a prevádzkových blokácií do procesov pre spracovanie prichádzajúcich SEPA platieb a súvisiacich správ</t>
  </si>
  <si>
    <t>Zavedenie krátkodobých klientskych a prevádzkových blokácií do procesov pre spracovanie prichádzajúcich výziev SEPA a súvisiacich správ</t>
  </si>
  <si>
    <t>Zavedenie krátkodobých klientskych a prevádzkových blokácií do procesov pre spracovanie prichádzajúcich inkás SEPA a súvisiacich správ</t>
  </si>
  <si>
    <t>Zavedenie krátkodobých klientskych a prevádzkových blokácií do procesov pre spracovanie prichádzajúcich správ týkajúcich sa priamych platieb kartou</t>
  </si>
  <si>
    <t>Zavedenie krátkodobých klientskych a prevádzkových blokácií do procesov pre spracovanie prichádzajúcich správ týkajúcich sa priamych platieb platobným tlačidlom</t>
  </si>
  <si>
    <t>Zavedenie krátkodobých klientskych a prevádzkových blokácií do procesov pre spracovanie prevodov v rámci ŠP</t>
  </si>
  <si>
    <t>Zavedenie krátkodobých klientskych a prevádzkových blokácií do procesov pre spracovanie chybných položiek SEPA</t>
  </si>
  <si>
    <t>Zavedenie krátkodobých klientskych a prevádzkových blokácií do procesov pre spracovanie chybných výziev SEPA</t>
  </si>
  <si>
    <t>Zavedenie krátkodobých klientskych a prevádzkových blokácií do procesov pre spracovanie chybných priamych platieb platobným tlačidlom</t>
  </si>
  <si>
    <t>Zavedenie krátkodobých klientskych a prevádzkových blokácií do procesov pre spracovanie chybných priamych platieb platobnou kartou</t>
  </si>
  <si>
    <t>Zavedenie krátkodobých klientskych a prevádzkových blokácií do procesov pre spracovanie odchádzajúcich platieb SEPA</t>
  </si>
  <si>
    <t>Zavedenie krátkodobých klientskych a prevádzkových blokácií do procesov pre odchádzajúce výzvy SEPA</t>
  </si>
  <si>
    <t>Zavedenie krátkodobých klientskych a prevádzkových blokácií do procesov pre odchádzajúce inkasá SEPA</t>
  </si>
  <si>
    <t>Zavedenie krátkodobých klientskych a prevádzkových blokácií do procesov pre automatické prevody</t>
  </si>
  <si>
    <t>Zavedenie krátkodobých klientskych a prevádzkových blokácií do procesov automatického odosielania platieb SEPA platiteľovi</t>
  </si>
  <si>
    <t>Kompatibilita klientskych výpisov s krátkodobými blokáciami</t>
  </si>
  <si>
    <t>Kompatibilita prevádzkových výpisov s krátkodobými blokáciami</t>
  </si>
  <si>
    <t>Transakčné jadro - testy</t>
  </si>
  <si>
    <t>Vybudovanie prostredia pre automatizované testovanie</t>
  </si>
  <si>
    <t>Zavedenie automatických biznis a výkonnostných testov pre klientske transakčné jadro</t>
  </si>
  <si>
    <t>Zavedenie automatických biznis a výkonnostných testov pre prevádzkové transakčné jadro</t>
  </si>
  <si>
    <t>Zavedenie automatických biznis a výkonnostných testov pre vytváranie položiek SEPA z krátkodobých blokácií</t>
  </si>
  <si>
    <t>Zavedenie automatických biznis a výkonnostných testov pre výpisy z klientskych a prevádzkových účtov</t>
  </si>
  <si>
    <t>Zavedenie automatických biznis a výkonnostných testov pre spracovanie prijímaných dávok SEPA</t>
  </si>
  <si>
    <t>Zavedenie automatických biznis testov pre chybárové situácie v platobnom styku</t>
  </si>
  <si>
    <t>Zavedenie automatických biznis testov pre chybárové situácie v priamych platbách</t>
  </si>
  <si>
    <t>Zavedenie automatických biznis a výkonnostných testov pre spracovanie prevodov v rámci ŠP</t>
  </si>
  <si>
    <t>Zavedenie automatických biznis a výkonnostných testov pre spracovanie odchádzajúcich platieb SEPA</t>
  </si>
  <si>
    <t>[LIMIT]]</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</si>
  <si>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</si>
  <si>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</si>
  <si>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</si>
  <si>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</si>
  <si>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</si>
  <si>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</si>
  <si>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</si>
  <si>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</si>
  <si>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</si>
  <si>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</si>
  <si>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</si>
  <si>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</si>
  <si>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</si>
  <si>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</si>
  <si>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</si>
  <si>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</si>
  <si>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</si>
  <si>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</si>
  <si>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</si>
  <si>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</si>
  <si>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</si>
  <si>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</si>
  <si>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</si>
  <si>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</si>
  <si>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</si>
  <si>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</si>
  <si>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</si>
  <si>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</si>
  <si>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</si>
  <si>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</si>
  <si>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</si>
  <si>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</si>
  <si>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</si>
  <si>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ISVS verejnej správy (G2IS G)</t>
  </si>
  <si>
    <t>ISVS mimo verejnej správy (G2IS B)</t>
  </si>
  <si>
    <t>Zložitosť</t>
  </si>
  <si>
    <t>Počet</t>
  </si>
  <si>
    <t>Celkom</t>
  </si>
  <si>
    <t>Počet MDs Hlavné etapy realizácie</t>
  </si>
  <si>
    <t>Počet MDs Podporné oblasti realizácie</t>
  </si>
  <si>
    <t>Etapy projektu</t>
  </si>
  <si>
    <t>% dotácia</t>
  </si>
  <si>
    <t>% dotácie / pomocne</t>
  </si>
  <si>
    <t>Počet MD</t>
  </si>
  <si>
    <t>Priemerná vážená sadzba</t>
  </si>
  <si>
    <t>Pozícia</t>
  </si>
  <si>
    <t>Pozicia Vyber</t>
  </si>
  <si>
    <t>ISCO pozícia</t>
  </si>
  <si>
    <t>ISCO kód</t>
  </si>
  <si>
    <t>% etáp</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</si>
  <si>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</si>
  <si>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</si>
  <si>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</si>
  <si>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</si>
  <si>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</si>
  <si>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</si>
  <si>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HE</t>
  </si>
  <si>
    <t>V projekte</t>
  </si>
  <si>
    <t>% v projekte</t>
  </si>
  <si>
    <t>Súlad s max</t>
  </si>
  <si>
    <t>Poznámka</t>
  </si>
  <si>
    <t>Analýza a dizajn</t>
  </si>
  <si>
    <t>IT architekt</t>
  </si>
  <si>
    <t>Projektový manažér IT projektu</t>
  </si>
  <si>
    <t>IT tester</t>
  </si>
  <si>
    <t>IT analytik</t>
  </si>
  <si>
    <t>IT programátor/vývojár</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</si>
  <si>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</si>
  <si>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</si>
  <si>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</si>
  <si>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</si>
  <si>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</si>
  <si>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</si>
  <si>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</si>
  <si>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</si>
  <si>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</si>
  <si>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</si>
  <si>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</si>
  <si>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</si>
  <si>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</si>
  <si>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</si>
  <si>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</si>
  <si>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Podporná oblasť projektu</t>
  </si>
  <si>
    <t>Trvanie oblasti</t>
  </si>
  <si>
    <t>Počet FTE v oblasti</t>
  </si>
  <si>
    <t>Pocet MDs</t>
  </si>
  <si>
    <t>Externé projektové riadenie</t>
  </si>
  <si>
    <t>Externá publicita a informovanosť</t>
  </si>
  <si>
    <t>MDs interné / Suma hlavné</t>
  </si>
  <si>
    <t>Koeficient odvodov</t>
  </si>
  <si>
    <t>Spolu za interné kapacity</t>
  </si>
  <si>
    <t>Odmeny v %</t>
  </si>
  <si>
    <t>Etapa projektu</t>
  </si>
  <si>
    <t>Trvanie etapy / podpornej oblasti</t>
  </si>
  <si>
    <t>% v etape / podpornej oblasti</t>
  </si>
  <si>
    <t>MD Rate s odvodmi</t>
  </si>
  <si>
    <t xml:space="preserve">Suma </t>
  </si>
  <si>
    <t>Etapa / oblasť</t>
  </si>
  <si>
    <t>Počet pozícií</t>
  </si>
  <si>
    <t>Hodinová sadzba - Hrubá mzda</t>
  </si>
  <si>
    <t>Odvody zamestnávateľ</t>
  </si>
  <si>
    <t>Hodinový náklad (superhrubý)</t>
  </si>
  <si>
    <t>Počet hodín</t>
  </si>
  <si>
    <t>Náklady na pozíciu</t>
  </si>
  <si>
    <t>Maximálna hod. sadzba (Hruba mzda)</t>
  </si>
  <si>
    <t>IT Architekt</t>
  </si>
  <si>
    <t>Hlavná</t>
  </si>
  <si>
    <t>Vlastník procesov</t>
  </si>
  <si>
    <t>Kľúčový používateľ</t>
  </si>
  <si>
    <t>Dátový špecialista</t>
  </si>
  <si>
    <t>IT Analytik</t>
  </si>
  <si>
    <t>Špecialista na bezpečnosť</t>
  </si>
  <si>
    <t>Manažér kvality</t>
  </si>
  <si>
    <t>Manažér kybernetickej a informačnej bezpečnosti</t>
  </si>
  <si>
    <t>Dátový kurátor</t>
  </si>
  <si>
    <t>CX/UX špecialista</t>
  </si>
  <si>
    <t>Špecialista pre infraštruktúru / HW</t>
  </si>
  <si>
    <t>Sieťový špecialista</t>
  </si>
  <si>
    <t>Tester</t>
  </si>
  <si>
    <t>Programový manažér</t>
  </si>
  <si>
    <t>Vlastník údajov</t>
  </si>
  <si>
    <t>Podporná</t>
  </si>
  <si>
    <t>Účtovník</t>
  </si>
  <si>
    <t>Analytik pre oblasť bezpečnosti a fraudov</t>
  </si>
  <si>
    <t>Špecialista na publicitu</t>
  </si>
  <si>
    <t>Pracovník v administratíve</t>
  </si>
  <si>
    <t>DevOps špecialista</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</si>
  <si>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</si>
  <si>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</si>
  <si>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</si>
  <si>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</si>
  <si>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</si>
  <si>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</si>
  <si>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</si>
  <si>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</si>
  <si>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</si>
  <si>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</si>
  <si>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</si>
  <si>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Vývoj vlastnej aplikácie</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</si>
  <si>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</si>
  <si>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</si>
  <si>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</si>
  <si>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</si>
  <si>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</si>
  <si>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</si>
  <si>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</si>
  <si>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</si>
  <si>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</si>
  <si>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</si>
  <si>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</si>
  <si>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</si>
  <si>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</si>
  <si>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</si>
  <si>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</si>
  <si>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</si>
  <si>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</si>
  <si>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</si>
  <si>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</si>
  <si>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</si>
  <si>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</si>
  <si>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</si>
  <si>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</si>
  <si>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</si>
  <si>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</si>
  <si>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</si>
  <si>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</si>
  <si>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</si>
  <si>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</si>
  <si>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</si>
  <si>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</si>
  <si>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</si>
  <si>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</si>
  <si>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</si>
  <si>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</si>
  <si>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</si>
  <si>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</si>
  <si>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</si>
  <si>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</si>
  <si>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</si>
  <si>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</si>
  <si>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</si>
  <si>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</si>
  <si>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</si>
  <si>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</si>
  <si>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</si>
  <si>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</si>
  <si>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Modul 1</t>
  </si>
  <si>
    <t xml:space="preserve">Prieskum trhu - www.xxxx.sk </t>
  </si>
  <si>
    <t>modul 2</t>
  </si>
  <si>
    <t>Modul 2</t>
  </si>
  <si>
    <t>Modul 3</t>
  </si>
  <si>
    <t>Harmonogram v mesiacoch od spustenia</t>
  </si>
  <si>
    <t>Fáza projektu</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</si>
  <si>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</si>
  <si>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</si>
  <si>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</si>
  <si>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</si>
  <si>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</si>
  <si>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</si>
  <si>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</si>
  <si>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</si>
  <si>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</si>
  <si>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</si>
  <si>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</si>
  <si>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</si>
  <si>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</si>
  <si>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</si>
  <si>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Riadenie a publicita projektu</t>
  </si>
  <si>
    <t xml:space="preserve">Spolu </t>
  </si>
  <si>
    <t>Náklady na existujúce riešenie
(pôvodné riešenie pred realizáciou projektu),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</si>
  <si>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</si>
  <si>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</si>
  <si>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</si>
  <si>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</si>
  <si>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</si>
  <si>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</si>
  <si>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</si>
  <si>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</si>
  <si>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</si>
  <si>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</si>
  <si>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</si>
  <si>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</si>
  <si>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013 Softvér</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</si>
  <si>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</si>
  <si>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</si>
  <si>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</si>
  <si>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</si>
  <si>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</si>
  <si>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</si>
  <si>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</si>
  <si>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</si>
  <si>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</si>
  <si>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</si>
  <si>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</si>
  <si>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</si>
  <si>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</si>
  <si>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</si>
  <si>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</si>
  <si>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</si>
  <si>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</si>
  <si>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</si>
  <si>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</si>
  <si>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</si>
  <si>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</si>
  <si>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</si>
  <si>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</si>
  <si>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</si>
  <si>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</si>
  <si>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</si>
  <si>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</si>
  <si>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</si>
  <si>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</si>
  <si>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</si>
  <si>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</si>
  <si>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</si>
  <si>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</si>
  <si>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</si>
  <si>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</si>
  <si>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</si>
  <si>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</si>
  <si>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</si>
  <si>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</si>
  <si>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</si>
  <si>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</si>
  <si>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</si>
  <si>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- 3.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</si>
  <si>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</si>
  <si>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</si>
  <si>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</si>
  <si>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</si>
  <si>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- 3. Q./2024 (obdobie aktualizovať k času predloženia dokumentu), podľa ŠÚ SR</t>
  </si>
  <si>
    <t>Fond pracovnej doby - VS (FPDvs)</t>
  </si>
  <si>
    <t xml:space="preserve">Rok 2024 má dokopy 251 pracovných dní, t.j. 1882,5 pracovných hodín. S platenými sviatkami má rok 262 pracovných dní, t.j. 1965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</si>
  <si>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</si>
  <si>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</si>
  <si>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262 pracovných dní, t.j. 2096 pracovných hodín.. 8 hodinový pracovný čas (obdobie aktualizovať k času predloženia dokumentu), podľa https://calendar.zoznam.sk/worktime-sksk.php</t>
  </si>
  <si>
    <t xml:space="preserve">Prvý rok, ktorým výpočet CBA a TCO začína, rok začatia projektu </t>
  </si>
  <si>
    <t>Subjekt / Objekt</t>
  </si>
  <si>
    <t>Zahraničná osoba (G2A)</t>
  </si>
  <si>
    <t>Inštitúcia verejnej správy (G2G)</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</si>
  <si>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</si>
  <si>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</si>
  <si>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</si>
  <si>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</si>
  <si>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</si>
  <si>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</si>
  <si>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</si>
  <si>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</si>
  <si>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</si>
  <si>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</si>
  <si>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</si>
  <si>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</si>
  <si>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</si>
  <si>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</si>
  <si>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</si>
  <si>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</si>
  <si>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</si>
  <si>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</si>
  <si>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</si>
  <si>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</si>
  <si>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</si>
  <si>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</si>
  <si>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</si>
  <si>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</si>
  <si>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</si>
  <si>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</si>
  <si>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</si>
  <si>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</si>
  <si>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</si>
  <si>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</si>
  <si>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</si>
  <si>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</si>
  <si>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</si>
  <si>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</si>
  <si>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</si>
  <si>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</si>
  <si>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</si>
  <si>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</si>
  <si>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</si>
  <si>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</si>
  <si>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</si>
  <si>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</si>
  <si>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</si>
  <si>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</si>
  <si>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</si>
  <si>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</si>
  <si>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</si>
  <si>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</si>
  <si>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</si>
  <si>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</si>
  <si>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</si>
  <si>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</si>
  <si>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</si>
  <si>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</si>
  <si>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r>
      <t xml:space="preserve"> DETAILNÝ POPIS POŽIADAVKY
 Nakoľko projekt bude realizovaný v organizácií spadajúcej pod úsek kritickej infraštruktúry v zmysle zákona o kritickej infraštruktúre, v dokumente sú uvedené len verejne prístupné informácie. Podrobnejšie informácie o projekte je možné sprístupniť len určitému okruhu osôb, pričom musí byť zabezpečená jednoznačná identifikácia osoby, ktorej bol dokument sprístupnený v súlade so zákonom č. 215/2004 Z. z. o ochrane utajovaných skutočností a o zmene a doplnení niektorých zákonov 
</t>
    </r>
    <r>
      <rPr>
        <b/>
        <sz val="10"/>
        <color rgb="FFFF0000"/>
        <rFont val="Calibri Light"/>
        <family val="2"/>
        <charset val="238"/>
        <scheme val="major"/>
      </rPr>
      <t xml:space="preserve"> [[LIMIT]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</si>
</sst>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93">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b/>
      <sz val="10"/>
      <name val="Times New Roman"/>
      <family val="1"/>
    </font>
    <font>
      <b/>
      <sz val="10"/>
      <color rgb="FFFF0000"/>
      <name val="Calibri Light"/>
      <family val="2"/>
      <charset val="238"/>
      <scheme val="major"/>
    </font>
  </fonts>
  <fills count="38">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s>
  <borders count="167">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881">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6"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2"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2"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17" xfId="5" applyNumberFormat="1" applyFont="1" applyFill="1" applyBorder="1" applyAlignment="1" applyProtection="1">
      <alignment horizontal="center" vertical="center" wrapText="1"/>
    </xf>
    <xf numFmtId="167" fontId="42" fillId="21" borderId="118" xfId="5" applyNumberFormat="1" applyFont="1" applyFill="1" applyBorder="1" applyAlignment="1" applyProtection="1">
      <alignment horizontal="center" vertical="center" wrapText="1"/>
    </xf>
    <xf numFmtId="167"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7" fontId="42" fillId="21" borderId="40"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79" xfId="5" applyNumberFormat="1" applyFont="1" applyFill="1" applyBorder="1" applyAlignment="1" applyProtection="1">
      <alignment horizontal="center" vertical="center" wrapText="1"/>
    </xf>
    <xf numFmtId="167" fontId="42" fillId="21" borderId="52" xfId="5" applyNumberFormat="1" applyFont="1" applyFill="1" applyBorder="1" applyAlignment="1" applyProtection="1">
      <alignment horizontal="center" vertical="center" wrapText="1"/>
    </xf>
    <xf numFmtId="167" fontId="42" fillId="21" borderId="78" xfId="5" applyNumberFormat="1" applyFont="1" applyFill="1" applyBorder="1" applyAlignment="1" applyProtection="1">
      <alignment horizontal="center" vertical="center" wrapText="1"/>
    </xf>
    <xf numFmtId="167" fontId="42" fillId="21" borderId="51"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5" fontId="50" fillId="22" borderId="100" xfId="5" applyNumberFormat="1" applyFont="1" applyFill="1" applyBorder="1" applyAlignment="1">
      <alignment horizontal="right" vertical="top" wrapText="1"/>
    </xf>
    <xf numFmtId="165" fontId="50" fillId="22" borderId="101" xfId="5" applyNumberFormat="1" applyFont="1" applyFill="1" applyBorder="1" applyAlignment="1">
      <alignment horizontal="right" vertical="top" wrapText="1"/>
    </xf>
    <xf numFmtId="165" fontId="50" fillId="22" borderId="102" xfId="5" applyNumberFormat="1" applyFont="1" applyFill="1" applyBorder="1" applyAlignment="1">
      <alignment horizontal="right" vertical="top" wrapText="1"/>
    </xf>
    <xf numFmtId="165" fontId="50" fillId="22" borderId="46"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3" fillId="26" borderId="131" xfId="8" applyFont="1" applyFill="1" applyBorder="1" applyAlignment="1">
      <alignment horizontal="left" vertical="center"/>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3" fillId="0" borderId="133" xfId="8" applyFont="1" applyBorder="1" applyAlignment="1">
      <alignment vertical="center" wrapText="1"/>
    </xf>
    <xf numFmtId="0" fontId="63" fillId="0" borderId="134" xfId="8" applyFont="1" applyBorder="1" applyAlignment="1">
      <alignment vertical="center" wrapText="1"/>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9"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0" fontId="62" fillId="26" borderId="130" xfId="8" applyNumberFormat="1" applyFont="1" applyFill="1" applyBorder="1"/>
    <xf numFmtId="170"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left"/>
    </xf>
    <xf numFmtId="0" fontId="72" fillId="26" borderId="130" xfId="8" applyFont="1" applyFill="1" applyBorder="1" applyAlignment="1">
      <alignment vertical="top"/>
    </xf>
    <xf numFmtId="0" fontId="72" fillId="26" borderId="130" xfId="8" applyFont="1" applyFill="1" applyBorder="1" applyAlignment="1">
      <alignment horizontal="center" vertical="top"/>
    </xf>
    <xf numFmtId="0" fontId="72"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1"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5" fontId="29" fillId="0" borderId="130" xfId="5" applyNumberFormat="1" applyFont="1" applyFill="1" applyBorder="1" applyProtection="1"/>
    <xf numFmtId="165"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1"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69"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69"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69"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69" fontId="62" fillId="22" borderId="131" xfId="10" applyNumberFormat="1" applyFont="1" applyFill="1" applyBorder="1" applyAlignment="1">
      <alignment vertical="center" wrapText="1"/>
    </xf>
    <xf numFmtId="1" fontId="59" fillId="0" borderId="0" xfId="0" applyNumberFormat="1" applyFont="1"/>
    <xf numFmtId="169"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69"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9" fillId="22" borderId="0" xfId="8" applyNumberFormat="1" applyFont="1" applyFill="1"/>
    <xf numFmtId="0" fontId="77" fillId="0" borderId="0" xfId="0" applyFont="1" applyAlignment="1">
      <alignment wrapText="1"/>
    </xf>
    <xf numFmtId="0" fontId="76" fillId="33" borderId="135" xfId="0" applyFont="1" applyFill="1" applyBorder="1" applyAlignment="1">
      <alignment wrapText="1"/>
    </xf>
    <xf numFmtId="0" fontId="77" fillId="10" borderId="135" xfId="0" applyFont="1" applyFill="1" applyBorder="1"/>
    <xf numFmtId="42" fontId="77" fillId="22" borderId="135" xfId="0" applyNumberFormat="1" applyFont="1" applyFill="1" applyBorder="1"/>
    <xf numFmtId="9" fontId="77" fillId="22" borderId="135" xfId="0" applyNumberFormat="1" applyFont="1" applyFill="1" applyBorder="1"/>
    <xf numFmtId="169" fontId="77" fillId="22" borderId="135" xfId="0" applyNumberFormat="1" applyFont="1" applyFill="1" applyBorder="1"/>
    <xf numFmtId="0" fontId="77" fillId="0" borderId="0" xfId="0" applyFont="1"/>
    <xf numFmtId="169" fontId="77" fillId="10" borderId="135" xfId="0" applyNumberFormat="1" applyFont="1" applyFill="1" applyBorder="1" applyAlignment="1">
      <alignment vertical="center"/>
    </xf>
    <xf numFmtId="42" fontId="77" fillId="0" borderId="135" xfId="0" applyNumberFormat="1" applyFont="1" applyBorder="1"/>
    <xf numFmtId="0" fontId="77" fillId="0" borderId="135" xfId="0" applyFont="1" applyBorder="1"/>
    <xf numFmtId="0" fontId="78" fillId="15" borderId="22" xfId="0" applyFont="1" applyFill="1" applyBorder="1"/>
    <xf numFmtId="0" fontId="79" fillId="19" borderId="104" xfId="6" applyFont="1" applyFill="1" applyBorder="1" applyAlignment="1">
      <alignment vertical="center"/>
    </xf>
    <xf numFmtId="0" fontId="79"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3" fillId="26" borderId="131" xfId="9" applyFont="1" applyFill="1" applyBorder="1" applyAlignment="1" applyProtection="1">
      <alignment horizontal="left" vertical="center" wrapText="1"/>
    </xf>
    <xf numFmtId="0" fontId="62" fillId="26" borderId="131" xfId="8" applyFont="1" applyFill="1" applyBorder="1" applyAlignment="1">
      <alignment horizontal="left" vertical="center" wrapText="1"/>
    </xf>
    <xf numFmtId="0" fontId="62" fillId="26" borderId="131" xfId="8" applyFont="1" applyFill="1" applyBorder="1" applyAlignment="1">
      <alignment horizontal="left" wrapText="1"/>
    </xf>
    <xf numFmtId="0" fontId="68" fillId="26" borderId="131" xfId="8" applyFont="1" applyFill="1" applyBorder="1" applyAlignment="1">
      <alignment vertical="center" wrapText="1"/>
    </xf>
    <xf numFmtId="0" fontId="62" fillId="26" borderId="131" xfId="8" applyFont="1" applyFill="1" applyBorder="1" applyAlignment="1">
      <alignmen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69"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2" fillId="19" borderId="22" xfId="6" applyFont="1" applyFill="1" applyBorder="1" applyAlignment="1">
      <alignment vertical="center"/>
    </xf>
    <xf numFmtId="171" fontId="62" fillId="26" borderId="131" xfId="10" applyNumberFormat="1" applyFont="1" applyFill="1" applyBorder="1" applyAlignment="1" applyProtection="1">
      <alignment horizontal="center" vertical="center"/>
      <protection locked="0"/>
    </xf>
    <xf numFmtId="171"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1"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72" fillId="30" borderId="130" xfId="8" applyFont="1" applyFill="1" applyBorder="1" applyAlignment="1">
      <alignment horizontal="left" vertical="center" wrapText="1"/>
    </xf>
    <xf numFmtId="0" fontId="72" fillId="13" borderId="130" xfId="8" applyFont="1" applyFill="1" applyBorder="1" applyAlignment="1">
      <alignment horizontal="center" vertical="center"/>
    </xf>
    <xf numFmtId="0" fontId="73" fillId="26" borderId="130" xfId="8" applyFont="1" applyFill="1" applyBorder="1" applyAlignment="1">
      <alignment horizontal="center" vertical="center"/>
    </xf>
    <xf numFmtId="0" fontId="73"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2" fillId="30" borderId="130" xfId="8" applyFont="1" applyFill="1" applyBorder="1" applyAlignment="1">
      <alignment vertical="top" wrapText="1"/>
    </xf>
    <xf numFmtId="0" fontId="71" fillId="22" borderId="64" xfId="8" applyFont="1" applyFill="1" applyBorder="1"/>
    <xf numFmtId="0" fontId="71" fillId="22" borderId="0" xfId="8" applyFont="1" applyFill="1"/>
    <xf numFmtId="0" fontId="61" fillId="30" borderId="147" xfId="8" applyFill="1" applyBorder="1" applyAlignment="1">
      <alignment horizontal="center" vertical="center"/>
    </xf>
    <xf numFmtId="0" fontId="72" fillId="13" borderId="130" xfId="8" applyFont="1" applyFill="1" applyBorder="1" applyAlignment="1">
      <alignment horizontal="left" vertical="top" wrapText="1"/>
    </xf>
    <xf numFmtId="0" fontId="62" fillId="0" borderId="0" xfId="0" applyFont="1" applyAlignment="1">
      <alignment horizontal="left" vertical="top" wrapText="1"/>
    </xf>
    <xf numFmtId="0" fontId="71" fillId="30" borderId="143" xfId="8" applyFont="1" applyFill="1" applyBorder="1" applyAlignment="1">
      <alignment horizontal="left" vertical="top" wrapText="1"/>
    </xf>
    <xf numFmtId="0" fontId="71" fillId="30" borderId="139" xfId="8" applyFont="1" applyFill="1" applyBorder="1" applyAlignment="1">
      <alignment horizontal="left" vertical="top" wrapText="1"/>
    </xf>
    <xf numFmtId="0" fontId="71" fillId="30" borderId="143" xfId="8" applyFont="1" applyFill="1" applyBorder="1" applyAlignment="1">
      <alignment vertical="top" wrapText="1"/>
    </xf>
    <xf numFmtId="0" fontId="71" fillId="30" borderId="144" xfId="8" applyFont="1" applyFill="1" applyBorder="1" applyAlignment="1">
      <alignment vertical="top" wrapText="1"/>
    </xf>
    <xf numFmtId="0" fontId="71" fillId="0" borderId="0" xfId="8" applyFont="1"/>
    <xf numFmtId="9" fontId="77" fillId="15" borderId="135" xfId="0" applyNumberFormat="1" applyFont="1" applyFill="1" applyBorder="1"/>
    <xf numFmtId="2" fontId="54" fillId="26" borderId="130" xfId="0" applyNumberFormat="1" applyFont="1" applyFill="1" applyBorder="1"/>
    <xf numFmtId="169"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7" fillId="15" borderId="135" xfId="0" applyNumberFormat="1" applyFont="1" applyFill="1" applyBorder="1"/>
    <xf numFmtId="169" fontId="85" fillId="0" borderId="135" xfId="0" applyNumberFormat="1" applyFont="1" applyBorder="1"/>
    <xf numFmtId="0" fontId="62" fillId="0" borderId="0" xfId="10" applyFont="1" applyAlignment="1" applyProtection="1">
      <alignment vertical="center" wrapText="1"/>
      <protection locked="0"/>
    </xf>
    <xf numFmtId="0" fontId="86" fillId="0" borderId="0" xfId="0" applyFont="1"/>
    <xf numFmtId="0" fontId="86" fillId="0" borderId="0" xfId="0" applyFont="1" applyAlignment="1">
      <alignment vertical="center"/>
    </xf>
    <xf numFmtId="0" fontId="86" fillId="0" borderId="0" xfId="0" applyFont="1" applyAlignment="1">
      <alignment horizontal="left" vertical="center"/>
    </xf>
    <xf numFmtId="0" fontId="86" fillId="0" borderId="0" xfId="0" applyFont="1" applyAlignment="1">
      <alignment horizontal="right" vertical="center" wrapText="1"/>
    </xf>
    <xf numFmtId="0" fontId="86"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0"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69" fontId="62" fillId="22" borderId="131" xfId="10" applyNumberFormat="1" applyFont="1" applyFill="1" applyBorder="1" applyAlignment="1" applyProtection="1">
      <alignment horizontal="left" vertical="center"/>
      <protection locked="0"/>
    </xf>
    <xf numFmtId="0" fontId="87" fillId="0" borderId="0" xfId="0" applyFont="1"/>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90" fillId="0" borderId="0" xfId="0" applyFont="1"/>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54" fillId="31" borderId="0" xfId="0" applyFont="1" applyFill="1"/>
    <xf numFmtId="0" fontId="77" fillId="10" borderId="136" xfId="0" applyFont="1" applyFill="1" applyBorder="1"/>
    <xf numFmtId="169" fontId="77" fillId="10" borderId="135" xfId="0" applyNumberFormat="1" applyFont="1" applyFill="1" applyBorder="1" applyAlignment="1">
      <alignment horizontal="left" vertical="center"/>
    </xf>
    <xf numFmtId="169" fontId="77" fillId="10" borderId="135" xfId="0" applyNumberFormat="1" applyFont="1" applyFill="1" applyBorder="1" applyAlignment="1">
      <alignment horizontal="center" vertical="center"/>
    </xf>
    <xf numFmtId="169" fontId="77" fillId="10" borderId="151" xfId="0" applyNumberFormat="1" applyFont="1" applyFill="1" applyBorder="1" applyAlignment="1">
      <alignment horizontal="center" vertical="center"/>
    </xf>
    <xf numFmtId="0" fontId="76" fillId="33" borderId="135" xfId="0" applyFont="1" applyFill="1" applyBorder="1" applyAlignment="1">
      <alignment horizontal="center" vertical="center" wrapText="1"/>
    </xf>
    <xf numFmtId="0" fontId="76" fillId="33" borderId="136" xfId="0" applyFont="1" applyFill="1" applyBorder="1" applyAlignment="1">
      <alignment horizontal="center" wrapText="1"/>
    </xf>
    <xf numFmtId="0" fontId="61" fillId="22" borderId="130" xfId="8" applyFill="1" applyBorder="1" applyAlignment="1">
      <alignment horizontal="center"/>
    </xf>
    <xf numFmtId="0" fontId="27" fillId="0" borderId="0" xfId="0" applyFont="1" applyAlignment="1">
      <alignment horizontal="center"/>
    </xf>
    <xf numFmtId="0" fontId="5" fillId="24" borderId="4" xfId="0" applyFont="1" applyFill="1" applyBorder="1" applyAlignment="1">
      <alignment horizontal="left" vertical="top" wrapText="1"/>
    </xf>
    <xf numFmtId="0" fontId="0" fillId="0" borderId="0" xfId="0" applyAlignment="1">
      <alignment horizontal="center" vertical="top"/>
    </xf>
    <xf numFmtId="0" fontId="62" fillId="26" borderId="131" xfId="8" applyFont="1" applyFill="1" applyBorder="1" applyAlignment="1">
      <alignment horizontal="left" vertical="center"/>
    </xf>
    <xf numFmtId="0" fontId="62" fillId="26" borderId="131" xfId="8" applyFont="1" applyFill="1" applyBorder="1" applyAlignment="1">
      <alignment vertical="center"/>
    </xf>
    <xf numFmtId="0" fontId="92" fillId="0" borderId="0" xfId="8" applyFont="1" applyAlignment="1">
      <alignment horizontal="center" vertical="center"/>
    </xf>
    <xf numFmtId="0" fontId="83" fillId="0" borderId="0" xfId="0" applyFont="1" applyAlignment="1">
      <alignment horizontal="center" wrapText="1"/>
    </xf>
    <xf numFmtId="0" fontId="84"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45" fillId="15" borderId="22" xfId="6"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76" fillId="33" borderId="160" xfId="0" applyFont="1" applyFill="1" applyBorder="1" applyAlignment="1">
      <alignment horizontal="center" wrapText="1"/>
    </xf>
    <xf numFmtId="0" fontId="76" fillId="33" borderId="0" xfId="0" applyFont="1" applyFill="1" applyAlignment="1">
      <alignment horizontal="center" wrapText="1"/>
    </xf>
    <xf numFmtId="0" fontId="76" fillId="33" borderId="135" xfId="0" applyFont="1" applyFill="1" applyBorder="1" applyAlignment="1">
      <alignment horizontal="center" wrapText="1"/>
    </xf>
    <xf numFmtId="0" fontId="77" fillId="10" borderId="151" xfId="0" applyFont="1" applyFill="1" applyBorder="1" applyAlignment="1">
      <alignment horizontal="center"/>
    </xf>
    <xf numFmtId="0" fontId="77" fillId="10" borderId="136" xfId="0" applyFont="1" applyFill="1" applyBorder="1" applyAlignment="1">
      <alignment horizontal="center"/>
    </xf>
    <xf numFmtId="0" fontId="76" fillId="33" borderId="135" xfId="0" applyFont="1" applyFill="1" applyBorder="1" applyAlignment="1">
      <alignment horizontal="center" vertical="center" wrapText="1"/>
    </xf>
    <xf numFmtId="0" fontId="76" fillId="33" borderId="151" xfId="0" applyFont="1" applyFill="1" applyBorder="1" applyAlignment="1">
      <alignment horizontal="center" wrapText="1"/>
    </xf>
    <xf numFmtId="0" fontId="76" fillId="33" borderId="155" xfId="0" applyFont="1" applyFill="1" applyBorder="1" applyAlignment="1">
      <alignment horizontal="center" wrapText="1"/>
    </xf>
    <xf numFmtId="0" fontId="76" fillId="33" borderId="136" xfId="0" applyFont="1" applyFill="1" applyBorder="1" applyAlignment="1">
      <alignment horizontal="center" wrapText="1"/>
    </xf>
    <xf numFmtId="0" fontId="76" fillId="33" borderId="152" xfId="0" applyFont="1" applyFill="1" applyBorder="1" applyAlignment="1">
      <alignment horizontal="center" vertical="center" wrapText="1"/>
    </xf>
    <xf numFmtId="0" fontId="76" fillId="33" borderId="134" xfId="0" applyFont="1" applyFill="1" applyBorder="1" applyAlignment="1">
      <alignment horizontal="center" vertical="center" wrapText="1"/>
    </xf>
    <xf numFmtId="0" fontId="76" fillId="33" borderId="153" xfId="0" applyFont="1" applyFill="1" applyBorder="1" applyAlignment="1">
      <alignment horizontal="center" vertical="center" wrapText="1"/>
    </xf>
    <xf numFmtId="0" fontId="76" fillId="33" borderId="154" xfId="0" applyFont="1" applyFill="1" applyBorder="1" applyAlignment="1">
      <alignment horizontal="center" vertical="center" wrapText="1"/>
    </xf>
    <xf numFmtId="0" fontId="76" fillId="33" borderId="133" xfId="0" applyFont="1" applyFill="1" applyBorder="1" applyAlignment="1">
      <alignment horizontal="center" vertical="center" wrapText="1"/>
    </xf>
    <xf numFmtId="0" fontId="76" fillId="33" borderId="150" xfId="0" applyFont="1" applyFill="1" applyBorder="1" applyAlignment="1">
      <alignment horizontal="center" vertical="center" wrapText="1"/>
    </xf>
    <xf numFmtId="0" fontId="77" fillId="10" borderId="133" xfId="0" applyFont="1" applyFill="1" applyBorder="1" applyAlignment="1">
      <alignment horizontal="left" vertical="center"/>
    </xf>
    <xf numFmtId="0" fontId="77" fillId="10" borderId="149" xfId="0" applyFont="1" applyFill="1" applyBorder="1" applyAlignment="1">
      <alignment horizontal="left" vertical="center"/>
    </xf>
    <xf numFmtId="0" fontId="77" fillId="10" borderId="150" xfId="0" applyFont="1" applyFill="1" applyBorder="1" applyAlignment="1">
      <alignment horizontal="left" vertical="center"/>
    </xf>
    <xf numFmtId="169" fontId="77" fillId="10" borderId="135" xfId="0" applyNumberFormat="1" applyFont="1" applyFill="1" applyBorder="1" applyAlignment="1">
      <alignment horizontal="center" vertical="center"/>
    </xf>
    <xf numFmtId="0" fontId="77" fillId="10" borderId="151" xfId="0" applyFont="1" applyFill="1" applyBorder="1" applyAlignment="1">
      <alignment horizontal="left" vertical="center"/>
    </xf>
    <xf numFmtId="0" fontId="77" fillId="10" borderId="136" xfId="0" applyFont="1" applyFill="1" applyBorder="1" applyAlignment="1">
      <alignment horizontal="left" vertical="center"/>
    </xf>
    <xf numFmtId="0" fontId="77" fillId="10" borderId="152" xfId="0" applyFont="1" applyFill="1" applyBorder="1" applyAlignment="1">
      <alignment horizontal="left" vertical="center"/>
    </xf>
    <xf numFmtId="0" fontId="77" fillId="10" borderId="134" xfId="0" applyFont="1" applyFill="1" applyBorder="1" applyAlignment="1">
      <alignment horizontal="left" vertical="center"/>
    </xf>
    <xf numFmtId="0" fontId="77" fillId="10" borderId="153" xfId="0" applyFont="1" applyFill="1" applyBorder="1" applyAlignment="1">
      <alignment horizontal="left" vertical="center"/>
    </xf>
    <xf numFmtId="0" fontId="77" fillId="10" borderId="154" xfId="0" applyFont="1" applyFill="1" applyBorder="1" applyAlignment="1">
      <alignment horizontal="left" vertical="center"/>
    </xf>
    <xf numFmtId="0" fontId="77" fillId="10" borderId="152" xfId="0" applyFont="1" applyFill="1" applyBorder="1" applyAlignment="1">
      <alignment horizontal="center" vertical="center"/>
    </xf>
    <xf numFmtId="0" fontId="77" fillId="10" borderId="160" xfId="0" applyFont="1" applyFill="1" applyBorder="1" applyAlignment="1">
      <alignment horizontal="center" vertical="center"/>
    </xf>
    <xf numFmtId="0" fontId="77" fillId="10" borderId="153" xfId="0" applyFont="1" applyFill="1" applyBorder="1" applyAlignment="1">
      <alignment horizontal="center" vertical="center"/>
    </xf>
    <xf numFmtId="169" fontId="77" fillId="10" borderId="151" xfId="0" applyNumberFormat="1" applyFont="1" applyFill="1" applyBorder="1" applyAlignment="1">
      <alignment horizontal="center" vertical="center"/>
    </xf>
    <xf numFmtId="169" fontId="77" fillId="10" borderId="155"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4" fillId="0" borderId="112" xfId="0" applyFont="1" applyBorder="1" applyAlignment="1">
      <alignment horizontal="left" vertical="top" wrapText="1"/>
    </xf>
    <xf numFmtId="0" fontId="74" fillId="0" borderId="18" xfId="0" applyFont="1" applyBorder="1" applyAlignment="1">
      <alignment horizontal="left" vertical="top" wrapText="1"/>
    </xf>
    <xf numFmtId="0" fontId="74" fillId="0" borderId="33" xfId="0" applyFont="1" applyBorder="1" applyAlignment="1">
      <alignment horizontal="left" vertical="top" wrapText="1"/>
    </xf>
    <xf numFmtId="0" fontId="74"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63"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641">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5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lvl>
                <c:lvl>
                  <c:pt idx="0">
                    <c:v>Adaptér core banking služieb</c:v>
                  </c:pt>
                  <c:pt idx="5">
                    <c:v>Autentifikačný modul</c:v>
                  </c:pt>
                  <c:pt idx="10">
                    <c:v>Mobilná aplikácia - autentifikácia</c:v>
                  </c:pt>
                  <c:pt idx="15">
                    <c:v>KYC</c:v>
                  </c:pt>
                  <c:pt idx="20">
                    <c:v>Webový portál ŠP</c:v>
                  </c:pt>
                  <c:pt idx="25">
                    <c:v>OpenAPI</c:v>
                  </c:pt>
                  <c:pt idx="30">
                    <c:v>Modul platobných funkcionalít</c:v>
                  </c:pt>
                  <c:pt idx="35">
                    <c:v>Modul všeobecných funkcionalít</c:v>
                  </c:pt>
                  <c:pt idx="40">
                    <c:v>Mobilná aplikácia - autorizácia a notifikácie</c:v>
                  </c:pt>
                  <c:pt idx="45">
                    <c:v>Modul rozpočtových funkcionalít</c:v>
                  </c:pt>
                  <c:pt idx="50">
                    <c:v>Migrácia do RPC</c:v>
                  </c:pt>
                </c:lvl>
              </c:multiLvlStrCache>
            </c:multiLvlStrRef>
          </c:cat>
          <c:val>
            <c:numRef>
              <c:f>Harmonogram!$H$3:$H$107</c:f>
              <c:numCache>
                <c:formatCode>General</c:formatCode>
                <c:ptCount val="105"/>
                <c:pt idx="0">
                  <c:v>0</c:v>
                </c:pt>
                <c:pt idx="1">
                  <c:v>-1</c:v>
                </c:pt>
                <c:pt idx="2">
                  <c:v>6</c:v>
                </c:pt>
                <c:pt idx="3">
                  <c:v>12</c:v>
                </c:pt>
                <c:pt idx="4">
                  <c:v>16</c:v>
                </c:pt>
                <c:pt idx="5">
                  <c:v>0</c:v>
                </c:pt>
                <c:pt idx="6">
                  <c:v>-1</c:v>
                </c:pt>
                <c:pt idx="7">
                  <c:v>6</c:v>
                </c:pt>
                <c:pt idx="8">
                  <c:v>12</c:v>
                </c:pt>
                <c:pt idx="9">
                  <c:v>16</c:v>
                </c:pt>
                <c:pt idx="10">
                  <c:v>0</c:v>
                </c:pt>
                <c:pt idx="11">
                  <c:v>-1</c:v>
                </c:pt>
                <c:pt idx="12">
                  <c:v>6</c:v>
                </c:pt>
                <c:pt idx="13">
                  <c:v>12</c:v>
                </c:pt>
                <c:pt idx="14">
                  <c:v>16</c:v>
                </c:pt>
                <c:pt idx="15">
                  <c:v>0</c:v>
                </c:pt>
                <c:pt idx="16">
                  <c:v>-1</c:v>
                </c:pt>
                <c:pt idx="17">
                  <c:v>6</c:v>
                </c:pt>
                <c:pt idx="18">
                  <c:v>12</c:v>
                </c:pt>
                <c:pt idx="19">
                  <c:v>16</c:v>
                </c:pt>
                <c:pt idx="20">
                  <c:v>0</c:v>
                </c:pt>
                <c:pt idx="21">
                  <c:v>-1</c:v>
                </c:pt>
                <c:pt idx="22">
                  <c:v>6</c:v>
                </c:pt>
                <c:pt idx="23">
                  <c:v>12</c:v>
                </c:pt>
                <c:pt idx="24">
                  <c:v>16</c:v>
                </c:pt>
                <c:pt idx="25">
                  <c:v>0</c:v>
                </c:pt>
                <c:pt idx="26">
                  <c:v>-1</c:v>
                </c:pt>
                <c:pt idx="27">
                  <c:v>6</c:v>
                </c:pt>
                <c:pt idx="28">
                  <c:v>12</c:v>
                </c:pt>
                <c:pt idx="29">
                  <c:v>16</c:v>
                </c:pt>
                <c:pt idx="30">
                  <c:v>7</c:v>
                </c:pt>
                <c:pt idx="31">
                  <c:v>-1</c:v>
                </c:pt>
                <c:pt idx="32">
                  <c:v>12</c:v>
                </c:pt>
                <c:pt idx="33">
                  <c:v>18</c:v>
                </c:pt>
                <c:pt idx="34">
                  <c:v>22</c:v>
                </c:pt>
                <c:pt idx="35">
                  <c:v>7</c:v>
                </c:pt>
                <c:pt idx="36">
                  <c:v>-1</c:v>
                </c:pt>
                <c:pt idx="37">
                  <c:v>6</c:v>
                </c:pt>
                <c:pt idx="38">
                  <c:v>12</c:v>
                </c:pt>
                <c:pt idx="39">
                  <c:v>16</c:v>
                </c:pt>
                <c:pt idx="40">
                  <c:v>7</c:v>
                </c:pt>
                <c:pt idx="41">
                  <c:v>-1</c:v>
                </c:pt>
                <c:pt idx="42">
                  <c:v>12</c:v>
                </c:pt>
                <c:pt idx="43">
                  <c:v>18</c:v>
                </c:pt>
                <c:pt idx="44">
                  <c:v>22</c:v>
                </c:pt>
                <c:pt idx="45">
                  <c:v>12</c:v>
                </c:pt>
                <c:pt idx="46">
                  <c:v>-1</c:v>
                </c:pt>
                <c:pt idx="47">
                  <c:v>18</c:v>
                </c:pt>
                <c:pt idx="48">
                  <c:v>24</c:v>
                </c:pt>
                <c:pt idx="49">
                  <c:v>28</c:v>
                </c:pt>
                <c:pt idx="50">
                  <c:v>0</c:v>
                </c:pt>
                <c:pt idx="51">
                  <c:v>-1</c:v>
                </c:pt>
                <c:pt idx="52">
                  <c:v>18</c:v>
                </c:pt>
                <c:pt idx="53">
                  <c:v>24</c:v>
                </c:pt>
                <c:pt idx="54">
                  <c:v>28</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5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lvl>
                <c:lvl>
                  <c:pt idx="0">
                    <c:v>Adaptér core banking služieb</c:v>
                  </c:pt>
                  <c:pt idx="5">
                    <c:v>Autentifikačný modul</c:v>
                  </c:pt>
                  <c:pt idx="10">
                    <c:v>Mobilná aplikácia - autentifikácia</c:v>
                  </c:pt>
                  <c:pt idx="15">
                    <c:v>KYC</c:v>
                  </c:pt>
                  <c:pt idx="20">
                    <c:v>Webový portál ŠP</c:v>
                  </c:pt>
                  <c:pt idx="25">
                    <c:v>OpenAPI</c:v>
                  </c:pt>
                  <c:pt idx="30">
                    <c:v>Modul platobných funkcionalít</c:v>
                  </c:pt>
                  <c:pt idx="35">
                    <c:v>Modul všeobecných funkcionalít</c:v>
                  </c:pt>
                  <c:pt idx="40">
                    <c:v>Mobilná aplikácia - autorizácia a notifikácie</c:v>
                  </c:pt>
                  <c:pt idx="45">
                    <c:v>Modul rozpočtových funkcionalít</c:v>
                  </c:pt>
                  <c:pt idx="50">
                    <c:v>Migrácia do RPC</c:v>
                  </c:pt>
                </c:lvl>
              </c:multiLvlStrCache>
            </c:multiLvlStrRef>
          </c:cat>
          <c:val>
            <c:numRef>
              <c:f>Harmonogram!$I$3:$I$107</c:f>
              <c:numCache>
                <c:formatCode>General</c:formatCode>
                <c:ptCount val="105"/>
                <c:pt idx="0">
                  <c:v>6</c:v>
                </c:pt>
                <c:pt idx="2">
                  <c:v>6</c:v>
                </c:pt>
                <c:pt idx="3">
                  <c:v>4</c:v>
                </c:pt>
                <c:pt idx="4">
                  <c:v>3</c:v>
                </c:pt>
                <c:pt idx="5">
                  <c:v>6</c:v>
                </c:pt>
                <c:pt idx="7">
                  <c:v>6</c:v>
                </c:pt>
                <c:pt idx="8">
                  <c:v>4</c:v>
                </c:pt>
                <c:pt idx="9">
                  <c:v>3</c:v>
                </c:pt>
                <c:pt idx="10">
                  <c:v>6</c:v>
                </c:pt>
                <c:pt idx="12">
                  <c:v>6</c:v>
                </c:pt>
                <c:pt idx="13">
                  <c:v>4</c:v>
                </c:pt>
                <c:pt idx="14">
                  <c:v>3</c:v>
                </c:pt>
                <c:pt idx="15">
                  <c:v>6</c:v>
                </c:pt>
                <c:pt idx="17">
                  <c:v>6</c:v>
                </c:pt>
                <c:pt idx="18">
                  <c:v>4</c:v>
                </c:pt>
                <c:pt idx="19">
                  <c:v>3</c:v>
                </c:pt>
                <c:pt idx="20">
                  <c:v>6</c:v>
                </c:pt>
                <c:pt idx="22">
                  <c:v>6</c:v>
                </c:pt>
                <c:pt idx="23">
                  <c:v>4</c:v>
                </c:pt>
                <c:pt idx="24">
                  <c:v>3</c:v>
                </c:pt>
                <c:pt idx="25">
                  <c:v>6</c:v>
                </c:pt>
                <c:pt idx="27">
                  <c:v>6</c:v>
                </c:pt>
                <c:pt idx="28">
                  <c:v>4</c:v>
                </c:pt>
                <c:pt idx="29">
                  <c:v>3</c:v>
                </c:pt>
                <c:pt idx="30">
                  <c:v>6</c:v>
                </c:pt>
                <c:pt idx="32">
                  <c:v>6</c:v>
                </c:pt>
                <c:pt idx="33">
                  <c:v>4</c:v>
                </c:pt>
                <c:pt idx="34">
                  <c:v>3</c:v>
                </c:pt>
                <c:pt idx="35">
                  <c:v>6</c:v>
                </c:pt>
                <c:pt idx="37">
                  <c:v>6</c:v>
                </c:pt>
                <c:pt idx="38">
                  <c:v>4</c:v>
                </c:pt>
                <c:pt idx="39">
                  <c:v>9</c:v>
                </c:pt>
                <c:pt idx="40">
                  <c:v>6</c:v>
                </c:pt>
                <c:pt idx="42">
                  <c:v>6</c:v>
                </c:pt>
                <c:pt idx="43">
                  <c:v>4</c:v>
                </c:pt>
                <c:pt idx="44">
                  <c:v>3</c:v>
                </c:pt>
                <c:pt idx="45">
                  <c:v>6</c:v>
                </c:pt>
                <c:pt idx="47">
                  <c:v>6</c:v>
                </c:pt>
                <c:pt idx="48">
                  <c:v>4</c:v>
                </c:pt>
                <c:pt idx="49">
                  <c:v>4</c:v>
                </c:pt>
                <c:pt idx="50">
                  <c:v>6</c:v>
                </c:pt>
                <c:pt idx="52">
                  <c:v>6</c:v>
                </c:pt>
                <c:pt idx="53">
                  <c:v>4</c:v>
                </c:pt>
                <c:pt idx="54">
                  <c:v>-9</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 STANDARDY_ISVS"/>
      <sheetName val="KATALOG_POZIADAVKY"/>
      <sheetName val="FINAL_UCPA_Moduly"/>
      <sheetName val="MODULY"/>
      <sheetName val="TFC_v02"/>
      <sheetName val="ECF_v02"/>
      <sheetName val="UAW_v02"/>
      <sheetName val="INKREMENTY"/>
      <sheetName val="VZOR_OTAZKY DO VO"/>
      <sheetName val="VZOR_TESTOVANIE"/>
      <sheetName val="VZOR_POZIADAVKY PROCESY_EVS"/>
      <sheetName val="Skratky"/>
      <sheetName val="CISELNIK"/>
      <sheetName val="POVINNE_STANDARDY_ISVS"/>
      <sheetName val="VZOR_OTAZKY_DO_VO"/>
      <sheetName val="VZOR_POZIADAVKY_PROCESY_EVS"/>
      <sheetName val="POVINNE_STANDARDY_ISVS1"/>
      <sheetName val="VZOR_OTAZKY_DO_VO1"/>
      <sheetName val="VZOR_POZIADAVKY_PROCESY_EVS1"/>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pokladnica.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xml"/><Relationship Id="rId1" Type="http://schemas.openxmlformats.org/officeDocument/2006/relationships/printerSettings" Target="../printerSettings/printerSettings21.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L17" sqref="L17"/>
    </sheetView>
  </sheetViews>
  <sheetFormatPr defaultColWidth="8.855468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96"/>
      <c r="B1" s="34"/>
      <c r="C1" s="34"/>
      <c r="D1" s="34"/>
      <c r="E1" s="34"/>
      <c r="F1" s="34"/>
      <c r="G1" s="34"/>
      <c r="H1" s="34"/>
      <c r="I1" s="34"/>
      <c r="J1" s="234"/>
      <c r="K1" s="235"/>
      <c r="L1" s="235"/>
      <c r="M1" s="235"/>
      <c r="N1" s="235"/>
      <c r="O1" s="235"/>
      <c r="P1" s="235"/>
      <c r="Q1" s="235"/>
      <c r="R1" s="235"/>
    </row>
    <row r="2" spans="1:18">
      <c r="B2" s="34"/>
      <c r="C2" s="34"/>
      <c r="D2" s="34"/>
      <c r="E2" s="34"/>
      <c r="F2" s="34"/>
      <c r="G2" s="34"/>
      <c r="H2" s="34"/>
      <c r="I2" s="34"/>
      <c r="J2" s="235"/>
      <c r="K2" s="235"/>
      <c r="L2" s="235"/>
      <c r="M2" s="235"/>
      <c r="N2" s="235"/>
      <c r="O2" s="235"/>
      <c r="P2" s="235"/>
      <c r="Q2" s="235"/>
      <c r="R2" s="235"/>
    </row>
    <row r="3" spans="1:18" ht="15" customHeight="1">
      <c r="A3" s="34"/>
      <c r="B3" s="34"/>
      <c r="C3" s="34"/>
      <c r="D3" s="34"/>
      <c r="E3" s="34"/>
      <c r="F3" s="34"/>
      <c r="G3" s="34"/>
      <c r="H3" s="34"/>
      <c r="I3" s="34"/>
      <c r="J3" s="235"/>
      <c r="K3" s="235"/>
      <c r="L3" s="235"/>
      <c r="M3" s="235"/>
      <c r="N3" s="235"/>
      <c r="O3" s="235"/>
      <c r="P3" s="235"/>
      <c r="Q3" s="235"/>
      <c r="R3" s="235"/>
    </row>
    <row r="4" spans="1:18" ht="15" customHeight="1">
      <c r="A4" s="34"/>
      <c r="B4" s="34"/>
      <c r="C4" s="34"/>
      <c r="D4" s="34"/>
      <c r="E4" s="34"/>
      <c r="F4" s="34"/>
      <c r="G4" s="34"/>
      <c r="H4" s="34"/>
      <c r="I4" s="34"/>
      <c r="J4" s="235"/>
      <c r="K4" s="235"/>
      <c r="L4" s="235"/>
      <c r="M4" s="235"/>
      <c r="N4" s="235"/>
      <c r="O4" s="235"/>
      <c r="P4" s="235"/>
      <c r="Q4" s="235"/>
      <c r="R4" s="235"/>
    </row>
    <row r="5" spans="1:18">
      <c r="A5" s="34"/>
      <c r="B5" s="34"/>
      <c r="C5" s="34"/>
      <c r="D5" s="34"/>
      <c r="E5" s="34"/>
      <c r="F5" s="34"/>
      <c r="G5" s="34"/>
      <c r="H5" s="34"/>
      <c r="I5" s="34"/>
      <c r="J5" s="235"/>
      <c r="K5" s="235"/>
      <c r="L5" s="235"/>
      <c r="M5" s="235"/>
      <c r="N5" s="235"/>
      <c r="O5" s="235"/>
      <c r="P5" s="235"/>
      <c r="Q5" s="235"/>
      <c r="R5" s="235"/>
    </row>
    <row r="6" spans="1:18" ht="57.75" customHeight="1">
      <c r="A6" s="671" t="s">
        <v>0</v>
      </c>
      <c r="B6" s="671"/>
      <c r="C6" s="671"/>
      <c r="D6" s="671"/>
      <c r="E6" s="671"/>
      <c r="F6" s="671"/>
      <c r="G6" s="671"/>
      <c r="H6" s="671"/>
      <c r="I6" s="671"/>
      <c r="J6" s="235"/>
      <c r="K6" s="235"/>
      <c r="L6" s="235"/>
      <c r="M6" s="235"/>
      <c r="N6" s="235"/>
      <c r="O6" s="235"/>
      <c r="P6" s="235"/>
      <c r="Q6" s="235"/>
      <c r="R6" s="235"/>
    </row>
    <row r="7" spans="1:18">
      <c r="A7" s="672"/>
      <c r="B7" s="672"/>
      <c r="C7" s="672"/>
      <c r="D7" s="672"/>
      <c r="E7" s="672"/>
      <c r="F7" s="672"/>
      <c r="G7" s="672"/>
      <c r="H7" s="672"/>
      <c r="I7" s="672"/>
      <c r="J7" s="235"/>
      <c r="K7" s="645" t="s">
        <v>1</v>
      </c>
      <c r="L7" s="235"/>
      <c r="M7" s="235"/>
      <c r="N7" s="235"/>
      <c r="O7" s="235"/>
      <c r="P7" s="235"/>
      <c r="Q7" s="235"/>
      <c r="R7" s="235"/>
    </row>
    <row r="8" spans="1:18" ht="3.75" customHeight="1">
      <c r="A8" s="672"/>
      <c r="B8" s="672"/>
      <c r="C8" s="672"/>
      <c r="D8" s="672"/>
      <c r="E8" s="672"/>
      <c r="F8" s="672"/>
      <c r="G8" s="672"/>
      <c r="H8" s="672"/>
      <c r="I8" s="672"/>
      <c r="J8" s="235"/>
      <c r="K8" s="235"/>
      <c r="L8" s="235"/>
      <c r="M8" s="235"/>
      <c r="N8" s="235"/>
      <c r="O8" s="235"/>
      <c r="P8" s="235"/>
      <c r="Q8" s="235"/>
      <c r="R8" s="235"/>
    </row>
    <row r="9" spans="1:18" ht="14.25" hidden="1" customHeight="1">
      <c r="A9" s="672"/>
      <c r="B9" s="672"/>
      <c r="C9" s="672"/>
      <c r="D9" s="672"/>
      <c r="E9" s="672"/>
      <c r="F9" s="672"/>
      <c r="G9" s="672"/>
      <c r="H9" s="672"/>
      <c r="I9" s="672"/>
      <c r="J9" s="235"/>
      <c r="K9" s="235"/>
      <c r="L9" s="235"/>
      <c r="M9" s="235"/>
      <c r="N9" s="235"/>
      <c r="O9" s="235"/>
      <c r="P9" s="235"/>
      <c r="Q9" s="235"/>
      <c r="R9" s="235"/>
    </row>
    <row r="10" spans="1:18" ht="15" customHeight="1">
      <c r="A10" s="34"/>
      <c r="B10" s="34"/>
      <c r="C10" s="34"/>
      <c r="D10" s="34"/>
      <c r="E10" s="34"/>
      <c r="F10" s="34"/>
      <c r="G10" s="34"/>
      <c r="H10" s="34"/>
      <c r="I10" s="34"/>
      <c r="J10" s="235"/>
      <c r="K10" s="235"/>
      <c r="L10" s="235"/>
      <c r="M10" s="235"/>
      <c r="N10" s="235"/>
      <c r="O10" s="235"/>
      <c r="P10" s="235"/>
      <c r="Q10" s="235"/>
      <c r="R10" s="235"/>
    </row>
    <row r="11" spans="1:18">
      <c r="B11" s="34"/>
      <c r="C11" s="34"/>
      <c r="D11" s="34"/>
      <c r="E11" s="34"/>
      <c r="F11" s="34"/>
      <c r="G11" s="34"/>
      <c r="H11" s="34"/>
      <c r="I11" s="34"/>
      <c r="J11" s="235"/>
      <c r="K11" s="235"/>
      <c r="L11" s="235"/>
      <c r="M11" s="235"/>
      <c r="N11" s="235"/>
      <c r="O11" s="235"/>
      <c r="P11" s="235"/>
      <c r="Q11" s="235"/>
      <c r="R11" s="235"/>
    </row>
    <row r="12" spans="1:18" ht="15.75" thickBot="1">
      <c r="B12" s="34"/>
      <c r="C12" s="34"/>
      <c r="D12" s="34"/>
      <c r="E12" s="34"/>
      <c r="F12" s="34"/>
      <c r="G12" s="34"/>
      <c r="H12" s="34"/>
      <c r="I12" s="34"/>
      <c r="J12" s="235"/>
      <c r="K12" s="235"/>
      <c r="L12" s="235"/>
      <c r="M12" s="235"/>
      <c r="N12" s="235"/>
      <c r="O12" s="235"/>
      <c r="P12" s="235"/>
      <c r="Q12" s="235"/>
      <c r="R12" s="235"/>
    </row>
    <row r="13" spans="1:18" ht="16.5">
      <c r="A13" s="677" t="s">
        <v>2</v>
      </c>
      <c r="B13" s="678"/>
      <c r="C13" s="679" t="s">
        <v>3</v>
      </c>
      <c r="D13" s="679"/>
      <c r="E13" s="679"/>
      <c r="F13" s="679"/>
      <c r="G13" s="679"/>
      <c r="H13" s="679"/>
      <c r="I13" s="680"/>
      <c r="J13" s="235"/>
      <c r="K13" s="235"/>
      <c r="L13" s="235"/>
      <c r="M13" s="235"/>
      <c r="N13" s="235"/>
      <c r="O13" s="235"/>
      <c r="P13" s="235"/>
      <c r="Q13" s="235"/>
      <c r="R13" s="235"/>
    </row>
    <row r="14" spans="1:18" ht="16.5">
      <c r="A14" s="673" t="s">
        <v>4</v>
      </c>
      <c r="B14" s="674"/>
      <c r="C14" s="675"/>
      <c r="D14" s="675"/>
      <c r="E14" s="675"/>
      <c r="F14" s="675"/>
      <c r="G14" s="675"/>
      <c r="H14" s="675"/>
      <c r="I14" s="676"/>
      <c r="J14" s="235"/>
      <c r="K14" s="235"/>
      <c r="L14" s="235"/>
      <c r="M14" s="235"/>
      <c r="N14" s="235"/>
      <c r="O14" s="235"/>
      <c r="P14" s="235"/>
      <c r="Q14" s="235"/>
      <c r="R14" s="235"/>
    </row>
    <row r="15" spans="1:18" ht="30.75" customHeight="1">
      <c r="A15" s="673" t="s">
        <v>5</v>
      </c>
      <c r="B15" s="674"/>
      <c r="C15" s="675" t="s">
        <v>6</v>
      </c>
      <c r="D15" s="675"/>
      <c r="E15" s="675"/>
      <c r="F15" s="675"/>
      <c r="G15" s="675"/>
      <c r="H15" s="675"/>
      <c r="I15" s="676"/>
      <c r="J15" s="235"/>
      <c r="K15" s="235"/>
      <c r="L15" s="235"/>
      <c r="M15" s="235"/>
      <c r="N15" s="235"/>
      <c r="O15" s="235"/>
      <c r="P15" s="235"/>
      <c r="Q15" s="235"/>
      <c r="R15" s="235"/>
    </row>
    <row r="16" spans="1:18" ht="14.45" customHeight="1">
      <c r="A16" s="673" t="s">
        <v>7</v>
      </c>
      <c r="B16" s="674"/>
      <c r="C16" s="675" t="s">
        <v>8</v>
      </c>
      <c r="D16" s="675"/>
      <c r="E16" s="675"/>
      <c r="F16" s="675"/>
      <c r="G16" s="675"/>
      <c r="H16" s="675"/>
      <c r="I16" s="676"/>
      <c r="J16" s="235"/>
      <c r="K16" s="235"/>
      <c r="L16" s="235"/>
      <c r="M16" s="235"/>
      <c r="N16" s="235"/>
      <c r="O16" s="235"/>
      <c r="P16" s="235"/>
      <c r="Q16" s="235"/>
      <c r="R16" s="235"/>
    </row>
    <row r="17" spans="1:18" ht="16.5">
      <c r="A17" s="673" t="s">
        <v>9</v>
      </c>
      <c r="B17" s="674"/>
      <c r="C17" s="675" t="s">
        <v>10</v>
      </c>
      <c r="D17" s="675"/>
      <c r="E17" s="675"/>
      <c r="F17" s="675"/>
      <c r="G17" s="675"/>
      <c r="H17" s="675"/>
      <c r="I17" s="676"/>
      <c r="J17" s="235"/>
      <c r="K17" s="235"/>
      <c r="L17" s="235"/>
      <c r="M17" s="235"/>
      <c r="N17" s="235"/>
      <c r="O17" s="235"/>
      <c r="P17" s="235"/>
      <c r="Q17" s="235"/>
      <c r="R17" s="235"/>
    </row>
    <row r="18" spans="1:18" ht="16.5">
      <c r="A18" s="673" t="s">
        <v>11</v>
      </c>
      <c r="B18" s="674"/>
      <c r="C18" s="675">
        <v>81107</v>
      </c>
      <c r="D18" s="675"/>
      <c r="E18" s="675"/>
      <c r="F18" s="675"/>
      <c r="G18" s="675"/>
      <c r="H18" s="675"/>
      <c r="I18" s="676"/>
      <c r="J18" s="235"/>
      <c r="K18" s="235"/>
      <c r="L18" s="235"/>
      <c r="M18" s="235"/>
      <c r="N18" s="235"/>
      <c r="O18" s="235"/>
      <c r="P18" s="235"/>
      <c r="Q18" s="235"/>
      <c r="R18" s="235"/>
    </row>
    <row r="19" spans="1:18" ht="16.5">
      <c r="A19" s="673" t="s">
        <v>12</v>
      </c>
      <c r="B19" s="674"/>
      <c r="C19" s="681" t="s">
        <v>13</v>
      </c>
      <c r="D19" s="675"/>
      <c r="E19" s="675"/>
      <c r="F19" s="675"/>
      <c r="G19" s="675"/>
      <c r="H19" s="675"/>
      <c r="I19" s="676"/>
      <c r="J19" s="235"/>
      <c r="K19" s="235"/>
      <c r="L19" s="235"/>
      <c r="M19" s="235"/>
      <c r="N19" s="235"/>
      <c r="O19" s="235"/>
      <c r="P19" s="235"/>
      <c r="Q19" s="235"/>
      <c r="R19" s="235"/>
    </row>
    <row r="20" spans="1:18" ht="16.5">
      <c r="A20" s="673" t="s">
        <v>14</v>
      </c>
      <c r="B20" s="674"/>
      <c r="C20" s="675">
        <v>36065340</v>
      </c>
      <c r="D20" s="675"/>
      <c r="E20" s="675"/>
      <c r="F20" s="675"/>
      <c r="G20" s="675"/>
      <c r="H20" s="675"/>
      <c r="I20" s="676"/>
      <c r="J20" s="235"/>
      <c r="K20" s="235"/>
      <c r="L20" s="235"/>
      <c r="M20" s="235"/>
      <c r="N20" s="235"/>
      <c r="O20" s="235"/>
      <c r="P20" s="235"/>
      <c r="Q20" s="235"/>
      <c r="R20" s="235"/>
    </row>
    <row r="21" spans="1:18" ht="19.350000000000001" customHeight="1">
      <c r="A21" s="673" t="s">
        <v>15</v>
      </c>
      <c r="B21" s="674"/>
      <c r="C21" s="690" t="s">
        <v>16</v>
      </c>
      <c r="D21" s="690"/>
      <c r="E21" s="690"/>
      <c r="F21" s="690"/>
      <c r="G21" s="690"/>
      <c r="H21" s="690"/>
      <c r="I21" s="691"/>
      <c r="J21" s="235"/>
      <c r="K21" s="235"/>
      <c r="L21" s="235"/>
      <c r="M21" s="235"/>
      <c r="N21" s="235"/>
      <c r="O21" s="235"/>
      <c r="P21" s="235"/>
      <c r="Q21" s="235"/>
      <c r="R21" s="235"/>
    </row>
    <row r="22" spans="1:18" ht="33" customHeight="1" thickBot="1">
      <c r="A22" s="692" t="s">
        <v>17</v>
      </c>
      <c r="B22" s="693"/>
      <c r="C22" s="694" t="s">
        <v>18</v>
      </c>
      <c r="D22" s="694"/>
      <c r="E22" s="694"/>
      <c r="F22" s="694"/>
      <c r="G22" s="694"/>
      <c r="H22" s="694"/>
      <c r="I22" s="695"/>
      <c r="J22" s="235"/>
      <c r="K22" s="235"/>
      <c r="L22" s="235"/>
      <c r="M22" s="235"/>
      <c r="N22" s="235"/>
      <c r="O22" s="235"/>
      <c r="P22" s="235"/>
      <c r="Q22" s="235"/>
      <c r="R22" s="235"/>
    </row>
    <row r="23" spans="1:18">
      <c r="A23" s="34"/>
      <c r="B23" s="34"/>
      <c r="C23" s="34"/>
      <c r="D23" s="34"/>
      <c r="E23" s="34"/>
      <c r="F23" s="34"/>
      <c r="G23" s="34"/>
      <c r="H23" s="34"/>
      <c r="I23" s="34"/>
      <c r="J23" s="235"/>
      <c r="K23" s="235"/>
      <c r="L23" s="235"/>
      <c r="M23" s="235"/>
      <c r="N23" s="235"/>
      <c r="O23" s="235"/>
      <c r="P23" s="235"/>
      <c r="Q23" s="235"/>
      <c r="R23" s="235"/>
    </row>
    <row r="24" spans="1:18" ht="15.75" thickBot="1">
      <c r="A24" s="696" t="s">
        <v>19</v>
      </c>
      <c r="B24" s="696"/>
      <c r="C24" s="696"/>
      <c r="D24" s="696"/>
      <c r="E24" s="696"/>
      <c r="F24" s="696"/>
      <c r="G24" s="696"/>
      <c r="H24" s="696"/>
      <c r="I24" s="696"/>
      <c r="J24" s="235"/>
      <c r="K24" s="235"/>
      <c r="L24" s="235"/>
      <c r="M24" s="235"/>
      <c r="N24" s="235"/>
      <c r="O24" s="235"/>
      <c r="P24" s="235"/>
      <c r="Q24" s="235"/>
      <c r="R24" s="235"/>
    </row>
    <row r="25" spans="1:18" ht="14.45" customHeight="1">
      <c r="A25" s="697" t="s">
        <v>20</v>
      </c>
      <c r="B25" s="698"/>
      <c r="C25" s="701" t="s">
        <v>21</v>
      </c>
      <c r="D25" s="701"/>
      <c r="E25" s="703" t="s">
        <v>22</v>
      </c>
      <c r="F25" s="703"/>
      <c r="G25" s="686" t="s">
        <v>23</v>
      </c>
      <c r="H25" s="686"/>
      <c r="I25" s="688" t="s">
        <v>24</v>
      </c>
      <c r="J25" s="235"/>
      <c r="K25" s="235"/>
      <c r="L25" s="235"/>
      <c r="M25" s="235"/>
      <c r="N25" s="235"/>
      <c r="O25" s="235"/>
      <c r="P25" s="235"/>
      <c r="Q25" s="235"/>
      <c r="R25" s="235"/>
    </row>
    <row r="26" spans="1:18" ht="15.75" thickBot="1">
      <c r="A26" s="699"/>
      <c r="B26" s="700"/>
      <c r="C26" s="702"/>
      <c r="D26" s="702"/>
      <c r="E26" s="704"/>
      <c r="F26" s="704"/>
      <c r="G26" s="687"/>
      <c r="H26" s="687"/>
      <c r="I26" s="689"/>
      <c r="J26" s="235"/>
      <c r="K26" s="235"/>
      <c r="L26" s="235"/>
      <c r="M26" s="235"/>
      <c r="N26" s="235"/>
      <c r="O26" s="235"/>
      <c r="P26" s="235"/>
      <c r="Q26" s="235"/>
      <c r="R26" s="235"/>
    </row>
    <row r="27" spans="1:18">
      <c r="A27" s="571"/>
      <c r="B27" s="571"/>
      <c r="C27" s="682" t="s">
        <v>25</v>
      </c>
      <c r="D27" s="683"/>
      <c r="E27" s="571"/>
      <c r="F27" s="571"/>
      <c r="G27" s="571"/>
      <c r="H27" s="571"/>
      <c r="I27" s="571"/>
      <c r="J27" s="235"/>
      <c r="K27" s="235"/>
      <c r="L27" s="235"/>
      <c r="M27" s="235"/>
      <c r="N27" s="235"/>
      <c r="O27" s="235"/>
      <c r="P27" s="235"/>
      <c r="Q27" s="235"/>
      <c r="R27" s="235"/>
    </row>
    <row r="28" spans="1:18" ht="15.75" thickBot="1">
      <c r="A28" s="572"/>
      <c r="B28" s="572"/>
      <c r="C28" s="684"/>
      <c r="D28" s="685"/>
      <c r="E28" s="572"/>
      <c r="F28" s="572"/>
      <c r="G28" s="572"/>
      <c r="H28" s="572"/>
      <c r="I28" s="572"/>
      <c r="J28" s="235"/>
      <c r="K28" s="235"/>
      <c r="L28" s="235"/>
      <c r="M28" s="235"/>
      <c r="N28" s="235"/>
      <c r="O28" s="235"/>
      <c r="P28" s="235"/>
      <c r="Q28" s="235"/>
      <c r="R28" s="235"/>
    </row>
    <row r="29" spans="1:18">
      <c r="A29" s="572"/>
      <c r="B29" s="572"/>
      <c r="C29" s="572"/>
      <c r="D29" s="572"/>
      <c r="E29" s="572"/>
      <c r="F29" s="572"/>
      <c r="G29" s="572"/>
      <c r="H29" s="572"/>
      <c r="I29" s="572"/>
      <c r="J29" s="235"/>
      <c r="K29" s="235"/>
      <c r="L29" s="235"/>
      <c r="M29" s="235"/>
      <c r="N29" s="235"/>
      <c r="O29" s="235"/>
      <c r="P29" s="235"/>
      <c r="Q29" s="235"/>
      <c r="R29" s="235"/>
    </row>
    <row r="30" spans="1:18">
      <c r="A30" s="78"/>
      <c r="B30" s="78"/>
      <c r="C30" s="34"/>
      <c r="D30" s="34"/>
      <c r="E30" s="34"/>
      <c r="F30" s="34"/>
      <c r="G30" s="34"/>
      <c r="H30" s="34"/>
      <c r="I30" s="34"/>
      <c r="J30" s="235"/>
      <c r="K30" s="235"/>
      <c r="L30" s="235"/>
      <c r="M30" s="235"/>
      <c r="N30" s="235"/>
      <c r="O30" s="235"/>
      <c r="P30" s="235"/>
      <c r="Q30" s="235"/>
      <c r="R30" s="235"/>
    </row>
    <row r="31" spans="1:18">
      <c r="A31" s="34"/>
      <c r="B31" s="34"/>
      <c r="C31" s="34"/>
      <c r="D31" s="34"/>
      <c r="E31" s="34"/>
      <c r="F31" s="34"/>
      <c r="G31" s="34"/>
      <c r="H31" s="34"/>
      <c r="I31" s="34"/>
      <c r="J31" s="235"/>
      <c r="K31" s="235"/>
      <c r="L31" s="235"/>
      <c r="M31" s="235"/>
      <c r="N31" s="235"/>
      <c r="O31" s="235"/>
      <c r="P31" s="235"/>
      <c r="Q31" s="235"/>
      <c r="R31" s="235"/>
    </row>
    <row r="32" spans="1:18">
      <c r="A32" s="34"/>
      <c r="B32" s="34"/>
      <c r="C32" s="34"/>
      <c r="D32" s="34"/>
      <c r="E32" s="34"/>
      <c r="F32" s="34"/>
      <c r="G32" s="34"/>
      <c r="H32" s="34"/>
      <c r="I32" s="34"/>
      <c r="J32" s="235"/>
      <c r="K32" s="235"/>
      <c r="L32" s="235"/>
      <c r="M32" s="235"/>
      <c r="N32" s="235"/>
      <c r="O32" s="235"/>
      <c r="P32" s="235"/>
      <c r="Q32" s="235"/>
      <c r="R32" s="235"/>
    </row>
    <row r="33" spans="1:18">
      <c r="A33" s="34"/>
      <c r="B33" s="34"/>
      <c r="C33" s="34"/>
      <c r="D33" s="34"/>
      <c r="E33" s="34"/>
      <c r="F33" s="34"/>
      <c r="G33" s="34"/>
      <c r="H33" s="34"/>
      <c r="I33" s="34"/>
      <c r="J33" s="235"/>
      <c r="K33" s="235"/>
      <c r="L33" s="235"/>
      <c r="M33" s="235"/>
      <c r="N33" s="235"/>
      <c r="O33" s="235"/>
      <c r="P33" s="235"/>
      <c r="Q33" s="235"/>
      <c r="R33" s="235"/>
    </row>
    <row r="34" spans="1:18">
      <c r="A34" s="34"/>
      <c r="B34" s="34"/>
      <c r="C34" s="34"/>
      <c r="D34" s="34"/>
      <c r="E34" s="34"/>
      <c r="F34" s="34"/>
      <c r="G34" s="34"/>
      <c r="H34" s="34"/>
      <c r="I34" s="34"/>
      <c r="J34" s="235"/>
      <c r="K34" s="235"/>
      <c r="L34" s="235"/>
      <c r="M34" s="235"/>
      <c r="N34" s="235"/>
      <c r="O34" s="235"/>
      <c r="P34" s="235"/>
      <c r="Q34" s="235"/>
      <c r="R34" s="235"/>
    </row>
    <row r="35" spans="1:18">
      <c r="A35" s="34"/>
      <c r="B35" s="34"/>
      <c r="C35" s="34"/>
      <c r="D35" s="34"/>
      <c r="E35" s="34"/>
      <c r="F35" s="34"/>
      <c r="G35" s="34"/>
      <c r="H35" s="34"/>
      <c r="I35" s="34"/>
      <c r="J35" s="235"/>
      <c r="K35" s="235"/>
      <c r="L35" s="235"/>
      <c r="M35" s="235"/>
      <c r="N35" s="235"/>
      <c r="O35" s="235"/>
      <c r="P35" s="235"/>
      <c r="Q35" s="235"/>
      <c r="R35" s="235"/>
    </row>
    <row r="36" spans="1:18">
      <c r="A36" s="34"/>
      <c r="B36" s="34"/>
      <c r="C36" s="34"/>
      <c r="D36" s="34"/>
      <c r="E36" s="34"/>
      <c r="F36" s="34"/>
      <c r="G36" s="34"/>
      <c r="H36" s="34"/>
      <c r="I36" s="34"/>
      <c r="J36" s="235"/>
      <c r="K36" s="235"/>
      <c r="L36" s="235"/>
      <c r="M36" s="235"/>
      <c r="N36" s="235"/>
      <c r="O36" s="235"/>
      <c r="P36" s="235"/>
      <c r="Q36" s="235"/>
      <c r="R36" s="235"/>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2868C04A-F71E-45EA-8AF9-CD503033247C}"/>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5546875" defaultRowHeight="12.75"/>
  <cols>
    <col min="1" max="1" width="8.85546875" style="615"/>
    <col min="2" max="7" width="33.28515625" style="615" customWidth="1"/>
    <col min="8" max="16384" width="8.85546875" style="615"/>
  </cols>
  <sheetData>
    <row r="1" spans="1:7">
      <c r="A1" s="615" t="s">
        <v>277</v>
      </c>
      <c r="B1" s="615">
        <v>0</v>
      </c>
      <c r="C1" s="615">
        <v>1</v>
      </c>
      <c r="D1" s="615">
        <v>2</v>
      </c>
      <c r="E1" s="615">
        <v>3</v>
      </c>
      <c r="F1" s="615">
        <v>4</v>
      </c>
      <c r="G1" s="615">
        <v>5</v>
      </c>
    </row>
    <row r="2" spans="1:7" ht="63.75">
      <c r="A2" s="615" t="s">
        <v>278</v>
      </c>
      <c r="B2" s="615" t="s">
        <v>279</v>
      </c>
      <c r="C2" s="615" t="s">
        <v>280</v>
      </c>
      <c r="D2" s="615" t="s">
        <v>281</v>
      </c>
      <c r="E2" s="615" t="s">
        <v>282</v>
      </c>
      <c r="F2" s="615" t="s">
        <v>283</v>
      </c>
      <c r="G2" s="615" t="s">
        <v>284</v>
      </c>
    </row>
    <row r="3" spans="1:7" ht="178.5">
      <c r="A3" s="615" t="s">
        <v>285</v>
      </c>
      <c r="B3" s="615" t="s">
        <v>286</v>
      </c>
      <c r="C3" s="615" t="s">
        <v>287</v>
      </c>
      <c r="D3" s="615" t="s">
        <v>288</v>
      </c>
      <c r="E3" s="615" t="s">
        <v>289</v>
      </c>
      <c r="F3" s="615" t="s">
        <v>290</v>
      </c>
      <c r="G3" s="615" t="s">
        <v>291</v>
      </c>
    </row>
    <row r="4" spans="1:7" ht="293.25">
      <c r="A4" s="615" t="s">
        <v>292</v>
      </c>
      <c r="B4" s="615" t="s">
        <v>293</v>
      </c>
      <c r="C4" s="615" t="s">
        <v>294</v>
      </c>
      <c r="D4" s="615" t="s">
        <v>295</v>
      </c>
      <c r="E4" s="615" t="s">
        <v>296</v>
      </c>
      <c r="F4" s="615" t="s">
        <v>297</v>
      </c>
      <c r="G4" s="615" t="s">
        <v>298</v>
      </c>
    </row>
    <row r="5" spans="1:7" ht="242.25">
      <c r="A5" s="615" t="s">
        <v>299</v>
      </c>
      <c r="B5" s="615" t="s">
        <v>300</v>
      </c>
      <c r="C5" s="615" t="s">
        <v>301</v>
      </c>
      <c r="D5" s="615" t="s">
        <v>302</v>
      </c>
      <c r="E5" s="615" t="s">
        <v>303</v>
      </c>
      <c r="F5" s="615" t="s">
        <v>304</v>
      </c>
      <c r="G5" s="615" t="s">
        <v>305</v>
      </c>
    </row>
    <row r="6" spans="1:7" ht="63.75">
      <c r="A6" s="615" t="s">
        <v>306</v>
      </c>
      <c r="B6" s="615" t="s">
        <v>307</v>
      </c>
      <c r="C6" s="615" t="s">
        <v>308</v>
      </c>
      <c r="D6" s="615" t="s">
        <v>309</v>
      </c>
      <c r="E6" s="615" t="s">
        <v>310</v>
      </c>
      <c r="F6" s="615" t="s">
        <v>311</v>
      </c>
      <c r="G6" s="615" t="s">
        <v>312</v>
      </c>
    </row>
    <row r="7" spans="1:7" ht="102">
      <c r="A7" s="615" t="s">
        <v>313</v>
      </c>
      <c r="B7" s="615" t="s">
        <v>314</v>
      </c>
      <c r="C7" s="615" t="s">
        <v>315</v>
      </c>
      <c r="D7" s="615" t="s">
        <v>316</v>
      </c>
      <c r="E7" s="615" t="s">
        <v>317</v>
      </c>
      <c r="F7" s="615" t="s">
        <v>318</v>
      </c>
      <c r="G7" s="615" t="s">
        <v>319</v>
      </c>
    </row>
    <row r="8" spans="1:7" ht="191.25">
      <c r="A8" s="615" t="s">
        <v>320</v>
      </c>
      <c r="B8" s="615" t="s">
        <v>321</v>
      </c>
      <c r="C8" s="615" t="s">
        <v>322</v>
      </c>
      <c r="D8" s="615" t="s">
        <v>323</v>
      </c>
      <c r="E8" s="615" t="s">
        <v>324</v>
      </c>
      <c r="F8" s="615" t="s">
        <v>325</v>
      </c>
      <c r="G8" s="615" t="s">
        <v>326</v>
      </c>
    </row>
    <row r="9" spans="1:7" ht="242.25">
      <c r="A9" s="615" t="s">
        <v>327</v>
      </c>
      <c r="B9" s="615" t="s">
        <v>328</v>
      </c>
      <c r="C9" s="615" t="s">
        <v>329</v>
      </c>
      <c r="D9" s="615" t="s">
        <v>330</v>
      </c>
      <c r="E9" s="615" t="s">
        <v>331</v>
      </c>
      <c r="F9" s="615" t="s">
        <v>332</v>
      </c>
      <c r="G9" s="615" t="s">
        <v>333</v>
      </c>
    </row>
    <row r="10" spans="1:7" ht="395.25">
      <c r="A10" s="615" t="s">
        <v>334</v>
      </c>
      <c r="B10" s="615" t="s">
        <v>300</v>
      </c>
      <c r="C10" s="615" t="s">
        <v>335</v>
      </c>
      <c r="D10" s="615" t="s">
        <v>336</v>
      </c>
      <c r="E10" s="615" t="s">
        <v>337</v>
      </c>
      <c r="F10" s="615" t="s">
        <v>338</v>
      </c>
      <c r="G10" s="615" t="s">
        <v>339</v>
      </c>
    </row>
    <row r="11" spans="1:7" ht="76.5">
      <c r="A11" s="615" t="s">
        <v>340</v>
      </c>
      <c r="B11" s="615" t="s">
        <v>341</v>
      </c>
      <c r="C11" s="615" t="s">
        <v>342</v>
      </c>
      <c r="D11" s="615" t="s">
        <v>343</v>
      </c>
      <c r="E11" s="615" t="s">
        <v>344</v>
      </c>
      <c r="F11" s="615" t="s">
        <v>345</v>
      </c>
      <c r="G11" s="615" t="s">
        <v>346</v>
      </c>
    </row>
    <row r="12" spans="1:7" ht="153">
      <c r="A12" s="615" t="s">
        <v>347</v>
      </c>
      <c r="B12" s="615" t="s">
        <v>348</v>
      </c>
      <c r="C12" s="615" t="s">
        <v>349</v>
      </c>
      <c r="D12" s="615" t="s">
        <v>350</v>
      </c>
      <c r="E12" s="615" t="s">
        <v>351</v>
      </c>
      <c r="F12" s="615" t="s">
        <v>352</v>
      </c>
      <c r="G12" s="615" t="s">
        <v>353</v>
      </c>
    </row>
    <row r="13" spans="1:7" ht="38.25">
      <c r="A13" s="615" t="s">
        <v>354</v>
      </c>
      <c r="B13" s="615" t="s">
        <v>355</v>
      </c>
      <c r="C13" s="615" t="s">
        <v>356</v>
      </c>
      <c r="D13" s="615" t="s">
        <v>357</v>
      </c>
      <c r="E13" s="615" t="s">
        <v>358</v>
      </c>
      <c r="F13" s="615" t="s">
        <v>359</v>
      </c>
      <c r="G13" s="615" t="s">
        <v>360</v>
      </c>
    </row>
    <row r="14" spans="1:7" ht="51">
      <c r="A14" s="615" t="s">
        <v>361</v>
      </c>
      <c r="B14" s="615" t="s">
        <v>362</v>
      </c>
      <c r="C14" s="615" t="s">
        <v>363</v>
      </c>
      <c r="D14" s="615" t="s">
        <v>364</v>
      </c>
      <c r="E14" s="615" t="s">
        <v>365</v>
      </c>
      <c r="F14" s="615" t="s">
        <v>366</v>
      </c>
      <c r="G14" s="615" t="s">
        <v>367</v>
      </c>
    </row>
    <row r="15" spans="1:7" ht="25.5">
      <c r="A15" s="615" t="s">
        <v>368</v>
      </c>
      <c r="B15" s="615" t="s">
        <v>369</v>
      </c>
      <c r="C15" s="615" t="s">
        <v>370</v>
      </c>
      <c r="D15" s="615" t="s">
        <v>371</v>
      </c>
      <c r="E15" s="615" t="s">
        <v>372</v>
      </c>
      <c r="F15" s="615" t="s">
        <v>373</v>
      </c>
      <c r="G15" s="615" t="s">
        <v>374</v>
      </c>
    </row>
    <row r="16" spans="1:7" ht="38.25">
      <c r="A16" s="615" t="s">
        <v>375</v>
      </c>
      <c r="B16" s="615" t="s">
        <v>376</v>
      </c>
      <c r="C16" s="615" t="s">
        <v>377</v>
      </c>
      <c r="D16" s="615" t="s">
        <v>378</v>
      </c>
      <c r="E16" s="615" t="s">
        <v>379</v>
      </c>
      <c r="F16" s="615" t="s">
        <v>380</v>
      </c>
      <c r="G16" s="615" t="s">
        <v>381</v>
      </c>
    </row>
    <row r="17" spans="1:7" ht="51">
      <c r="A17" s="615" t="s">
        <v>382</v>
      </c>
      <c r="B17" s="615" t="s">
        <v>383</v>
      </c>
      <c r="C17" s="615" t="s">
        <v>384</v>
      </c>
      <c r="D17" s="615" t="s">
        <v>385</v>
      </c>
      <c r="E17" s="615" t="s">
        <v>386</v>
      </c>
      <c r="F17" s="615" t="s">
        <v>387</v>
      </c>
      <c r="G17" s="615" t="s">
        <v>388</v>
      </c>
    </row>
    <row r="18" spans="1:7" ht="38.25">
      <c r="A18" s="615" t="s">
        <v>389</v>
      </c>
      <c r="B18" s="615" t="s">
        <v>390</v>
      </c>
      <c r="C18" s="615" t="s">
        <v>391</v>
      </c>
      <c r="D18" s="615" t="s">
        <v>392</v>
      </c>
      <c r="E18" s="615" t="s">
        <v>393</v>
      </c>
      <c r="F18" s="615" t="s">
        <v>394</v>
      </c>
      <c r="G18" s="615" t="s">
        <v>395</v>
      </c>
    </row>
    <row r="19" spans="1:7" ht="51">
      <c r="A19" s="615" t="s">
        <v>396</v>
      </c>
      <c r="B19" s="615" t="s">
        <v>397</v>
      </c>
      <c r="C19" s="615" t="s">
        <v>398</v>
      </c>
      <c r="D19" s="615" t="s">
        <v>399</v>
      </c>
      <c r="E19" s="615" t="s">
        <v>400</v>
      </c>
      <c r="F19" s="615" t="s">
        <v>401</v>
      </c>
      <c r="G19" s="615" t="s">
        <v>402</v>
      </c>
    </row>
    <row r="20" spans="1:7" ht="63.75">
      <c r="A20" s="615" t="s">
        <v>403</v>
      </c>
      <c r="B20" s="615" t="s">
        <v>404</v>
      </c>
      <c r="C20" s="615" t="s">
        <v>405</v>
      </c>
      <c r="D20" s="615" t="s">
        <v>406</v>
      </c>
      <c r="E20" s="615" t="s">
        <v>407</v>
      </c>
      <c r="F20" s="615" t="s">
        <v>408</v>
      </c>
      <c r="G20" s="615" t="s">
        <v>409</v>
      </c>
    </row>
    <row r="21" spans="1:7" ht="25.5">
      <c r="A21" s="615" t="s">
        <v>410</v>
      </c>
      <c r="B21" s="615" t="s">
        <v>411</v>
      </c>
      <c r="C21" s="615" t="s">
        <v>412</v>
      </c>
      <c r="D21" s="615" t="s">
        <v>413</v>
      </c>
      <c r="E21" s="615" t="s">
        <v>414</v>
      </c>
      <c r="F21" s="615" t="s">
        <v>415</v>
      </c>
      <c r="G21" s="615" t="s">
        <v>416</v>
      </c>
    </row>
    <row r="22" spans="1:7" ht="25.5">
      <c r="A22" s="615" t="s">
        <v>417</v>
      </c>
      <c r="B22" s="615" t="s">
        <v>418</v>
      </c>
      <c r="C22" s="615" t="s">
        <v>419</v>
      </c>
      <c r="D22" s="615" t="s">
        <v>420</v>
      </c>
      <c r="E22" s="615" t="s">
        <v>421</v>
      </c>
      <c r="F22" s="615" t="s">
        <v>422</v>
      </c>
      <c r="G22" s="615" t="s">
        <v>423</v>
      </c>
    </row>
  </sheetData>
  <phoneticPr fontId="58"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J15" sqref="J15"/>
    </sheetView>
  </sheetViews>
  <sheetFormatPr defaultColWidth="8.85546875" defaultRowHeight="12.75"/>
  <cols>
    <col min="1" max="1" width="18.7109375" style="407" customWidth="1"/>
    <col min="2" max="2" width="12" style="407" customWidth="1"/>
    <col min="3" max="3" width="6.140625" style="407" customWidth="1"/>
    <col min="4" max="5" width="12" style="407" customWidth="1"/>
    <col min="6" max="7" width="11.28515625" style="407" customWidth="1"/>
    <col min="8" max="16384" width="8.85546875" style="407"/>
  </cols>
  <sheetData>
    <row r="1" spans="1:8" s="408" customFormat="1" ht="25.5">
      <c r="A1" s="427" t="s">
        <v>424</v>
      </c>
      <c r="B1" s="427" t="s">
        <v>425</v>
      </c>
      <c r="C1" s="427" t="s">
        <v>192</v>
      </c>
      <c r="D1" s="427" t="s">
        <v>426</v>
      </c>
      <c r="E1" s="427" t="s">
        <v>427</v>
      </c>
      <c r="F1" s="427" t="s">
        <v>232</v>
      </c>
      <c r="G1" s="427" t="s">
        <v>428</v>
      </c>
    </row>
    <row r="2" spans="1:8">
      <c r="A2" s="424" t="s">
        <v>242</v>
      </c>
      <c r="B2" s="425">
        <v>46174</v>
      </c>
      <c r="C2" s="422">
        <f t="shared" ref="C2:C21" si="0">IF(ISBLANK(B2),"",YEAR(B2))</f>
        <v>2026</v>
      </c>
      <c r="D2" s="425">
        <v>46752</v>
      </c>
      <c r="E2" s="416">
        <f>IF(ISBLANK(B2),"",ROUND((D2-B2+1)/30,0))</f>
        <v>19</v>
      </c>
      <c r="F2" s="422">
        <f>IF(ISBLANK(B2),"",ROUNDUP(((D2+1)-MIN($B$2:$B$21))/365,))</f>
        <v>2</v>
      </c>
      <c r="G2" s="422">
        <f>IF(ISBLANK(B2),"",ROUND((D2-$B$2+1)/30,0))</f>
        <v>19</v>
      </c>
      <c r="H2" s="426"/>
    </row>
    <row r="3" spans="1:8">
      <c r="A3" s="424" t="s">
        <v>256</v>
      </c>
      <c r="B3" s="425">
        <v>46388</v>
      </c>
      <c r="C3" s="422">
        <f t="shared" si="0"/>
        <v>2027</v>
      </c>
      <c r="D3" s="425">
        <v>46934</v>
      </c>
      <c r="E3" s="416">
        <f t="shared" ref="E3:E21" si="1">IF(ISBLANK(B3),"",ROUND((D3-B3+1)/30,0))</f>
        <v>18</v>
      </c>
      <c r="F3" s="422">
        <f t="shared" ref="F3:F21" si="2">IF(ISBLANK(B3),"",ROUNDUP(((D3+1)-MIN($B$2:$B$21))/365,))</f>
        <v>3</v>
      </c>
      <c r="G3" s="422">
        <f>IF(ISBLANK(B3),"",ROUND((D3-$B$2+1)/30,0))</f>
        <v>25</v>
      </c>
    </row>
    <row r="4" spans="1:8">
      <c r="A4" s="424" t="s">
        <v>263</v>
      </c>
      <c r="B4" s="425">
        <v>46539</v>
      </c>
      <c r="C4" s="422">
        <f t="shared" si="0"/>
        <v>2027</v>
      </c>
      <c r="D4" s="425">
        <v>47118</v>
      </c>
      <c r="E4" s="416">
        <f t="shared" si="1"/>
        <v>19</v>
      </c>
      <c r="F4" s="422">
        <f t="shared" si="2"/>
        <v>3</v>
      </c>
      <c r="G4" s="422">
        <f>IF(ISBLANK(B4),"",ROUND((D4-$B$2+1)/30,0))</f>
        <v>32</v>
      </c>
    </row>
    <row r="5" spans="1:8">
      <c r="A5" s="424" t="s">
        <v>251</v>
      </c>
      <c r="B5" s="425">
        <v>46174</v>
      </c>
      <c r="C5" s="422">
        <f t="shared" si="0"/>
        <v>2026</v>
      </c>
      <c r="D5" s="425">
        <v>46752</v>
      </c>
      <c r="E5" s="416">
        <f t="shared" si="1"/>
        <v>19</v>
      </c>
      <c r="F5" s="422">
        <f t="shared" si="2"/>
        <v>2</v>
      </c>
      <c r="G5" s="422">
        <f>IF(ISBLANK(B5),"",ROUND((D5-$B$2+1)/30,0))</f>
        <v>19</v>
      </c>
    </row>
    <row r="6" spans="1:8">
      <c r="A6" s="424" t="s">
        <v>266</v>
      </c>
      <c r="B6" s="425">
        <v>46174</v>
      </c>
      <c r="C6" s="422">
        <f t="shared" si="0"/>
        <v>2026</v>
      </c>
      <c r="D6" s="425">
        <v>46752</v>
      </c>
      <c r="E6" s="416">
        <f t="shared" si="1"/>
        <v>19</v>
      </c>
      <c r="F6" s="422">
        <f t="shared" si="2"/>
        <v>2</v>
      </c>
      <c r="G6" s="422">
        <f>IF(ISBLANK(B6),"",ROUND((D6-$B$2+1)/30,0))</f>
        <v>19</v>
      </c>
    </row>
    <row r="7" spans="1:8">
      <c r="A7" s="424" t="s">
        <v>429</v>
      </c>
      <c r="B7" s="423"/>
      <c r="C7" s="422" t="str">
        <f t="shared" si="0"/>
        <v/>
      </c>
      <c r="D7" s="423"/>
      <c r="E7" s="416" t="str">
        <f t="shared" si="1"/>
        <v/>
      </c>
      <c r="F7" s="422" t="str">
        <f t="shared" si="2"/>
        <v/>
      </c>
      <c r="G7" s="422"/>
    </row>
    <row r="8" spans="1:8">
      <c r="A8" s="424" t="s">
        <v>430</v>
      </c>
      <c r="B8" s="423"/>
      <c r="C8" s="422" t="str">
        <f t="shared" si="0"/>
        <v/>
      </c>
      <c r="D8" s="423"/>
      <c r="E8" s="416" t="str">
        <f t="shared" si="1"/>
        <v/>
      </c>
      <c r="F8" s="422" t="str">
        <f t="shared" si="2"/>
        <v/>
      </c>
      <c r="G8" s="422"/>
    </row>
    <row r="9" spans="1:8">
      <c r="A9" s="424" t="s">
        <v>431</v>
      </c>
      <c r="B9" s="423"/>
      <c r="C9" s="422" t="str">
        <f t="shared" si="0"/>
        <v/>
      </c>
      <c r="D9" s="423"/>
      <c r="E9" s="416" t="str">
        <f t="shared" si="1"/>
        <v/>
      </c>
      <c r="F9" s="422" t="str">
        <f t="shared" si="2"/>
        <v/>
      </c>
      <c r="G9" s="422"/>
    </row>
    <row r="10" spans="1:8">
      <c r="A10" s="424" t="s">
        <v>432</v>
      </c>
      <c r="B10" s="423"/>
      <c r="C10" s="422" t="str">
        <f t="shared" si="0"/>
        <v/>
      </c>
      <c r="D10" s="423"/>
      <c r="E10" s="416" t="str">
        <f t="shared" si="1"/>
        <v/>
      </c>
      <c r="F10" s="422" t="str">
        <f t="shared" si="2"/>
        <v/>
      </c>
      <c r="G10" s="422"/>
    </row>
    <row r="11" spans="1:8">
      <c r="A11" s="424" t="s">
        <v>433</v>
      </c>
      <c r="B11" s="423"/>
      <c r="C11" s="422" t="str">
        <f t="shared" si="0"/>
        <v/>
      </c>
      <c r="D11" s="423"/>
      <c r="E11" s="416" t="str">
        <f t="shared" si="1"/>
        <v/>
      </c>
      <c r="F11" s="422" t="str">
        <f t="shared" si="2"/>
        <v/>
      </c>
      <c r="G11" s="422"/>
    </row>
    <row r="12" spans="1:8">
      <c r="A12" s="424" t="s">
        <v>434</v>
      </c>
      <c r="B12" s="423"/>
      <c r="C12" s="422" t="str">
        <f t="shared" si="0"/>
        <v/>
      </c>
      <c r="D12" s="423"/>
      <c r="E12" s="416" t="str">
        <f t="shared" si="1"/>
        <v/>
      </c>
      <c r="F12" s="422" t="str">
        <f t="shared" si="2"/>
        <v/>
      </c>
      <c r="G12" s="422"/>
    </row>
    <row r="13" spans="1:8">
      <c r="A13" s="424" t="s">
        <v>435</v>
      </c>
      <c r="B13" s="423"/>
      <c r="C13" s="422" t="str">
        <f t="shared" si="0"/>
        <v/>
      </c>
      <c r="D13" s="423"/>
      <c r="E13" s="416" t="str">
        <f t="shared" si="1"/>
        <v/>
      </c>
      <c r="F13" s="422" t="str">
        <f t="shared" si="2"/>
        <v/>
      </c>
      <c r="G13" s="422"/>
    </row>
    <row r="14" spans="1:8">
      <c r="A14" s="424" t="s">
        <v>436</v>
      </c>
      <c r="B14" s="423"/>
      <c r="C14" s="422" t="str">
        <f t="shared" si="0"/>
        <v/>
      </c>
      <c r="D14" s="423"/>
      <c r="E14" s="416" t="str">
        <f t="shared" si="1"/>
        <v/>
      </c>
      <c r="F14" s="422" t="str">
        <f t="shared" si="2"/>
        <v/>
      </c>
      <c r="G14" s="422"/>
    </row>
    <row r="15" spans="1:8">
      <c r="A15" s="424" t="s">
        <v>437</v>
      </c>
      <c r="B15" s="423"/>
      <c r="C15" s="422" t="str">
        <f t="shared" si="0"/>
        <v/>
      </c>
      <c r="D15" s="423"/>
      <c r="E15" s="416" t="str">
        <f t="shared" si="1"/>
        <v/>
      </c>
      <c r="F15" s="422" t="str">
        <f t="shared" si="2"/>
        <v/>
      </c>
      <c r="G15" s="422"/>
    </row>
    <row r="16" spans="1:8">
      <c r="A16" s="424" t="s">
        <v>438</v>
      </c>
      <c r="B16" s="423"/>
      <c r="C16" s="422" t="str">
        <f t="shared" si="0"/>
        <v/>
      </c>
      <c r="D16" s="423"/>
      <c r="E16" s="416" t="str">
        <f t="shared" si="1"/>
        <v/>
      </c>
      <c r="F16" s="422" t="str">
        <f t="shared" si="2"/>
        <v/>
      </c>
      <c r="G16" s="422"/>
    </row>
    <row r="17" spans="1:7">
      <c r="A17" s="424" t="s">
        <v>439</v>
      </c>
      <c r="B17" s="423"/>
      <c r="C17" s="422" t="str">
        <f t="shared" si="0"/>
        <v/>
      </c>
      <c r="D17" s="423"/>
      <c r="E17" s="416" t="str">
        <f t="shared" si="1"/>
        <v/>
      </c>
      <c r="F17" s="422" t="str">
        <f t="shared" si="2"/>
        <v/>
      </c>
      <c r="G17" s="422"/>
    </row>
    <row r="18" spans="1:7">
      <c r="A18" s="424" t="s">
        <v>440</v>
      </c>
      <c r="B18" s="423"/>
      <c r="C18" s="422" t="str">
        <f t="shared" si="0"/>
        <v/>
      </c>
      <c r="D18" s="423"/>
      <c r="E18" s="416" t="str">
        <f t="shared" si="1"/>
        <v/>
      </c>
      <c r="F18" s="422" t="str">
        <f t="shared" si="2"/>
        <v/>
      </c>
      <c r="G18" s="422"/>
    </row>
    <row r="19" spans="1:7">
      <c r="A19" s="424" t="s">
        <v>441</v>
      </c>
      <c r="B19" s="423"/>
      <c r="C19" s="422" t="str">
        <f t="shared" si="0"/>
        <v/>
      </c>
      <c r="D19" s="423"/>
      <c r="E19" s="416" t="str">
        <f t="shared" si="1"/>
        <v/>
      </c>
      <c r="F19" s="422" t="str">
        <f t="shared" si="2"/>
        <v/>
      </c>
      <c r="G19" s="422"/>
    </row>
    <row r="20" spans="1:7">
      <c r="A20" s="424" t="s">
        <v>442</v>
      </c>
      <c r="B20" s="423"/>
      <c r="C20" s="422" t="str">
        <f t="shared" si="0"/>
        <v/>
      </c>
      <c r="D20" s="423"/>
      <c r="E20" s="416" t="str">
        <f t="shared" si="1"/>
        <v/>
      </c>
      <c r="F20" s="422" t="str">
        <f t="shared" si="2"/>
        <v/>
      </c>
      <c r="G20" s="422"/>
    </row>
    <row r="21" spans="1:7">
      <c r="A21" s="424" t="s">
        <v>443</v>
      </c>
      <c r="B21" s="423"/>
      <c r="C21" s="422" t="str">
        <f t="shared" si="0"/>
        <v/>
      </c>
      <c r="D21" s="423"/>
      <c r="E21" s="416" t="str">
        <f t="shared" si="1"/>
        <v/>
      </c>
      <c r="F21" s="422" t="str">
        <f t="shared" si="2"/>
        <v/>
      </c>
      <c r="G21" s="422"/>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G816"/>
  <sheetViews>
    <sheetView tabSelected="1" zoomScale="70" zoomScaleNormal="70" workbookViewId="0">
      <pane ySplit="2" topLeftCell="A3" activePane="bottomLeft" state="frozen"/>
      <selection activeCell="I3" sqref="I3"/>
      <selection pane="bottomLeft" activeCell="E2" sqref="E2"/>
    </sheetView>
  </sheetViews>
  <sheetFormatPr defaultColWidth="10.42578125" defaultRowHeight="12.75"/>
  <cols>
    <col min="1" max="1" width="18.140625" style="373" customWidth="1"/>
    <col min="2" max="2" width="46.42578125" style="373" customWidth="1"/>
    <col min="3" max="3" width="20.7109375" style="370" customWidth="1"/>
    <col min="4" max="4" width="50.140625" style="370" customWidth="1"/>
    <col min="5" max="5" width="57.7109375" style="370" customWidth="1"/>
    <col min="6" max="6" width="27.42578125" style="370" customWidth="1"/>
    <col min="7" max="7" width="19.28515625" style="370" customWidth="1"/>
    <col min="8" max="9" width="17" style="370" customWidth="1"/>
    <col min="10" max="11" width="17" style="373" customWidth="1"/>
    <col min="12" max="12" width="13.7109375" style="372" customWidth="1"/>
    <col min="13" max="14" width="13.7109375" style="373" customWidth="1"/>
    <col min="15" max="15" width="13.7109375" style="372" customWidth="1"/>
    <col min="16" max="16" width="14.28515625" style="371" customWidth="1"/>
    <col min="17" max="17" width="27.42578125" style="370" customWidth="1"/>
    <col min="18" max="18" width="34.28515625" style="370" customWidth="1"/>
    <col min="19" max="19" width="64.42578125" style="370" customWidth="1"/>
    <col min="20" max="20" width="34.42578125" style="370" customWidth="1"/>
    <col min="21" max="21" width="30.42578125" style="370" customWidth="1"/>
    <col min="22" max="22" width="26.28515625" style="370" customWidth="1"/>
    <col min="23" max="24" width="44.42578125" style="370" customWidth="1"/>
    <col min="25" max="26" width="36.28515625" style="370" customWidth="1"/>
    <col min="27" max="28" width="38" style="370" customWidth="1"/>
    <col min="29" max="29" width="52.7109375" style="370" customWidth="1"/>
    <col min="30" max="30" width="35.42578125" style="370" customWidth="1"/>
    <col min="31" max="31" width="30.28515625" style="370" customWidth="1"/>
    <col min="32" max="16384" width="10.42578125" style="370"/>
  </cols>
  <sheetData>
    <row r="1" spans="1:33" ht="45.6" customHeight="1">
      <c r="A1" s="795" t="s">
        <v>444</v>
      </c>
      <c r="B1" s="796"/>
      <c r="C1" s="796"/>
      <c r="D1" s="796"/>
      <c r="E1" s="796"/>
      <c r="F1" s="796"/>
      <c r="G1" s="796"/>
      <c r="H1" s="796"/>
      <c r="I1" s="796"/>
      <c r="J1" s="796"/>
      <c r="K1" s="796"/>
      <c r="L1" s="796"/>
      <c r="M1" s="796"/>
      <c r="N1" s="796"/>
      <c r="O1" s="796"/>
      <c r="P1" s="796"/>
      <c r="Q1" s="796"/>
      <c r="R1" s="796"/>
      <c r="S1" s="797"/>
      <c r="T1" s="787" t="s">
        <v>445</v>
      </c>
      <c r="U1" s="788"/>
      <c r="V1" s="789"/>
      <c r="W1" s="790" t="s">
        <v>446</v>
      </c>
      <c r="X1" s="791"/>
      <c r="Y1" s="791"/>
      <c r="Z1" s="791"/>
      <c r="AA1" s="791"/>
      <c r="AB1" s="791"/>
      <c r="AC1" s="792"/>
      <c r="AD1" s="793" t="s">
        <v>447</v>
      </c>
      <c r="AE1" s="794"/>
      <c r="AF1" s="406"/>
    </row>
    <row r="2" spans="1:33" s="399" customFormat="1" ht="151.5" customHeight="1">
      <c r="A2" s="381" t="s">
        <v>448</v>
      </c>
      <c r="B2" s="381" t="s">
        <v>449</v>
      </c>
      <c r="C2" s="381" t="s">
        <v>450</v>
      </c>
      <c r="D2" s="381" t="s">
        <v>451</v>
      </c>
      <c r="E2" s="381" t="s">
        <v>1611</v>
      </c>
      <c r="F2" s="381" t="s">
        <v>452</v>
      </c>
      <c r="G2" s="381" t="s">
        <v>453</v>
      </c>
      <c r="H2" s="405" t="s">
        <v>454</v>
      </c>
      <c r="I2" s="405" t="s">
        <v>455</v>
      </c>
      <c r="J2" s="405" t="s">
        <v>456</v>
      </c>
      <c r="K2" s="405" t="s">
        <v>457</v>
      </c>
      <c r="L2" s="405" t="s">
        <v>229</v>
      </c>
      <c r="M2" s="405" t="s">
        <v>228</v>
      </c>
      <c r="N2" s="405" t="s">
        <v>227</v>
      </c>
      <c r="O2" s="405" t="s">
        <v>458</v>
      </c>
      <c r="P2" s="405" t="s">
        <v>459</v>
      </c>
      <c r="Q2" s="381" t="s">
        <v>460</v>
      </c>
      <c r="R2" s="381" t="s">
        <v>461</v>
      </c>
      <c r="S2" s="381" t="s">
        <v>462</v>
      </c>
      <c r="T2" s="404" t="s">
        <v>463</v>
      </c>
      <c r="U2" s="404" t="s">
        <v>464</v>
      </c>
      <c r="V2" s="403" t="s">
        <v>465</v>
      </c>
      <c r="W2" s="402" t="s">
        <v>466</v>
      </c>
      <c r="X2" s="402" t="s">
        <v>467</v>
      </c>
      <c r="Y2" s="402" t="s">
        <v>468</v>
      </c>
      <c r="Z2" s="402" t="s">
        <v>469</v>
      </c>
      <c r="AA2" s="402" t="s">
        <v>470</v>
      </c>
      <c r="AB2" s="402" t="s">
        <v>471</v>
      </c>
      <c r="AC2" s="402" t="s">
        <v>472</v>
      </c>
      <c r="AD2" s="401" t="s">
        <v>473</v>
      </c>
      <c r="AE2" s="400" t="s">
        <v>474</v>
      </c>
    </row>
    <row r="3" spans="1:33" s="393" customFormat="1" ht="25.5">
      <c r="A3" s="401">
        <v>1</v>
      </c>
      <c r="B3" s="401" t="s">
        <v>475</v>
      </c>
      <c r="C3" s="530" t="s">
        <v>476</v>
      </c>
      <c r="D3" s="389" t="s">
        <v>477</v>
      </c>
      <c r="E3" s="389"/>
      <c r="F3" s="389" t="s">
        <v>8</v>
      </c>
      <c r="G3" s="389" t="s">
        <v>255</v>
      </c>
      <c r="H3" s="379">
        <v>2</v>
      </c>
      <c r="I3" s="379">
        <v>5</v>
      </c>
      <c r="J3" s="379">
        <f>IF(ISNUMBER(H3),H3,)</f>
        <v>2</v>
      </c>
      <c r="K3" s="642">
        <f>H3*I3</f>
        <v>10</v>
      </c>
      <c r="L3" s="643">
        <f>IFERROR(IF(B3="funkcna poziadavka",VLOOKUP(G3,MODULY_CBA!$B$3:$E$23,4,0)*H3/SUMIFS($H$3:$H$199,$G$3:$G$199,G3,$B$3:$B$199,B3),),)</f>
        <v>0.21323529411764705</v>
      </c>
      <c r="M3" s="642">
        <f>IFERROR(IF(B3="Funkcna poziadavka",VLOOKUP(G3,MODULY_CBA!$B$3:$E$23,3,0),),)</f>
        <v>0.93499999999999994</v>
      </c>
      <c r="N3" s="642">
        <f>IFERROR(IF(B3="funkcna poziadavka",VLOOKUP(G3,MODULY_CBA!$B$3:$E$23,2,0),),)</f>
        <v>1.18</v>
      </c>
      <c r="O3" s="643">
        <f>(I3+L3)*M3*N3*H3</f>
        <v>11.503524999999998</v>
      </c>
      <c r="P3" s="644">
        <f>IFERROR(O3*VLOOKUP(G3,MODULY_CBA!$B$3:$F$23,5,0),)</f>
        <v>345.10574999999994</v>
      </c>
      <c r="Q3" s="478" t="str">
        <f>IFERROR(VLOOKUP(G3,MODULY_CBA!$B$3:$I$23,6,0),"")</f>
        <v>Inkrement 2</v>
      </c>
      <c r="R3" s="384"/>
      <c r="S3" s="384"/>
      <c r="T3" s="384"/>
      <c r="U3" s="384"/>
      <c r="V3" s="396"/>
      <c r="W3" s="376"/>
      <c r="X3" s="376"/>
      <c r="Y3" s="384"/>
      <c r="Z3" s="384"/>
      <c r="AA3" s="384"/>
      <c r="AB3" s="384"/>
      <c r="AC3" s="384"/>
      <c r="AD3" s="384"/>
      <c r="AE3" s="384"/>
      <c r="AF3" s="398"/>
      <c r="AG3" s="397"/>
    </row>
    <row r="4" spans="1:33" s="393" customFormat="1" ht="25.5">
      <c r="A4" s="401">
        <v>2</v>
      </c>
      <c r="B4" s="401" t="s">
        <v>475</v>
      </c>
      <c r="C4" s="530" t="s">
        <v>476</v>
      </c>
      <c r="D4" s="389" t="s">
        <v>478</v>
      </c>
      <c r="E4" s="389"/>
      <c r="F4" s="389" t="s">
        <v>8</v>
      </c>
      <c r="G4" s="389" t="s">
        <v>255</v>
      </c>
      <c r="H4" s="379">
        <v>2</v>
      </c>
      <c r="I4" s="379">
        <v>5</v>
      </c>
      <c r="J4" s="379">
        <f t="shared" ref="J4:J67" si="0">IF(ISNUMBER(H4),H4,)</f>
        <v>2</v>
      </c>
      <c r="K4" s="642">
        <f t="shared" ref="K4:K67" si="1">H4*I4</f>
        <v>10</v>
      </c>
      <c r="L4" s="643">
        <f>IFERROR(IF(B4="funkcna poziadavka",VLOOKUP(G4,MODULY_CBA!$B$3:$E$23,4,0)*H4/SUMIFS($H$3:$H$199,$G$3:$G$199,G4,$B$3:$B$199,B4),),)</f>
        <v>0.21323529411764705</v>
      </c>
      <c r="M4" s="642">
        <f>IFERROR(IF(B4="Funkcna poziadavka",VLOOKUP(G4,MODULY_CBA!$B$3:$E$23,3,0),),)</f>
        <v>0.93499999999999994</v>
      </c>
      <c r="N4" s="642">
        <f>IFERROR(IF(B4="funkcna poziadavka",VLOOKUP(G4,MODULY_CBA!$B$3:$E$23,2,0),),)</f>
        <v>1.18</v>
      </c>
      <c r="O4" s="643">
        <f t="shared" ref="O4:O11" si="2">(I4+L4)*M4*N4*H4</f>
        <v>11.503524999999998</v>
      </c>
      <c r="P4" s="644">
        <f>IFERROR(O4*VLOOKUP(G4,MODULY_CBA!$B$3:$F$23,5,0),)</f>
        <v>345.10574999999994</v>
      </c>
      <c r="Q4" s="478" t="str">
        <f>IFERROR(VLOOKUP(G4,MODULY_CBA!$B$3:$I$23,6,0),"")</f>
        <v>Inkrement 2</v>
      </c>
      <c r="R4" s="384"/>
      <c r="S4" s="384"/>
      <c r="T4" s="384"/>
      <c r="U4" s="384"/>
      <c r="V4" s="396"/>
      <c r="W4" s="376"/>
      <c r="X4" s="376"/>
      <c r="Y4" s="384"/>
      <c r="Z4" s="384"/>
      <c r="AA4" s="384"/>
      <c r="AB4" s="384"/>
      <c r="AC4" s="384"/>
      <c r="AD4" s="384"/>
      <c r="AE4" s="384"/>
      <c r="AF4" s="398"/>
      <c r="AG4" s="397"/>
    </row>
    <row r="5" spans="1:33" s="393" customFormat="1" ht="25.5">
      <c r="A5" s="401">
        <v>3</v>
      </c>
      <c r="B5" s="401" t="s">
        <v>475</v>
      </c>
      <c r="C5" s="530" t="s">
        <v>476</v>
      </c>
      <c r="D5" s="389" t="s">
        <v>479</v>
      </c>
      <c r="E5" s="389"/>
      <c r="F5" s="389" t="s">
        <v>8</v>
      </c>
      <c r="G5" s="389" t="s">
        <v>255</v>
      </c>
      <c r="H5" s="379">
        <v>2</v>
      </c>
      <c r="I5" s="379">
        <v>5</v>
      </c>
      <c r="J5" s="379">
        <f t="shared" si="0"/>
        <v>2</v>
      </c>
      <c r="K5" s="642">
        <f t="shared" si="1"/>
        <v>10</v>
      </c>
      <c r="L5" s="643">
        <f>IFERROR(IF(B5="funkcna poziadavka",VLOOKUP(G5,MODULY_CBA!$B$3:$E$23,4,0)*H5/SUMIFS($H$3:$H$199,$G$3:$G$199,G5,$B$3:$B$199,B5),),)</f>
        <v>0.21323529411764705</v>
      </c>
      <c r="M5" s="642">
        <f>IFERROR(IF(B5="Funkcna poziadavka",VLOOKUP(G5,MODULY_CBA!$B$3:$E$23,3,0),),)</f>
        <v>0.93499999999999994</v>
      </c>
      <c r="N5" s="642">
        <f>IFERROR(IF(B5="funkcna poziadavka",VLOOKUP(G5,MODULY_CBA!$B$3:$E$23,2,0),),)</f>
        <v>1.18</v>
      </c>
      <c r="O5" s="643">
        <f t="shared" si="2"/>
        <v>11.503524999999998</v>
      </c>
      <c r="P5" s="644">
        <f>IFERROR(O5*VLOOKUP(G5,MODULY_CBA!$B$3:$F$23,5,0),)</f>
        <v>345.10574999999994</v>
      </c>
      <c r="Q5" s="478" t="str">
        <f>IFERROR(VLOOKUP(G5,MODULY_CBA!$B$3:$I$23,6,0),"")</f>
        <v>Inkrement 2</v>
      </c>
      <c r="R5" s="384"/>
      <c r="S5" s="384"/>
      <c r="T5" s="384"/>
      <c r="U5" s="384"/>
      <c r="V5" s="396"/>
      <c r="W5" s="376"/>
      <c r="X5" s="376"/>
      <c r="Y5" s="384"/>
      <c r="Z5" s="384"/>
      <c r="AA5" s="384"/>
      <c r="AB5" s="384"/>
      <c r="AC5" s="384"/>
      <c r="AD5" s="384"/>
      <c r="AE5" s="384"/>
      <c r="AF5" s="398"/>
      <c r="AG5" s="397"/>
    </row>
    <row r="6" spans="1:33" s="393" customFormat="1" ht="25.5">
      <c r="A6" s="401">
        <v>4</v>
      </c>
      <c r="B6" s="401" t="s">
        <v>475</v>
      </c>
      <c r="C6" s="530" t="s">
        <v>476</v>
      </c>
      <c r="D6" s="389" t="s">
        <v>480</v>
      </c>
      <c r="E6" s="389"/>
      <c r="F6" s="389" t="s">
        <v>8</v>
      </c>
      <c r="G6" s="389" t="s">
        <v>255</v>
      </c>
      <c r="H6" s="379">
        <v>2</v>
      </c>
      <c r="I6" s="379">
        <v>5</v>
      </c>
      <c r="J6" s="379">
        <f t="shared" si="0"/>
        <v>2</v>
      </c>
      <c r="K6" s="642">
        <f t="shared" si="1"/>
        <v>10</v>
      </c>
      <c r="L6" s="643">
        <f>IFERROR(IF(B6="funkcna poziadavka",VLOOKUP(G6,MODULY_CBA!$B$3:$E$23,4,0)*H6/SUMIFS($H$3:$H$199,$G$3:$G$199,G6,$B$3:$B$199,B6),),)</f>
        <v>0.21323529411764705</v>
      </c>
      <c r="M6" s="642">
        <f>IFERROR(IF(B6="Funkcna poziadavka",VLOOKUP(G6,MODULY_CBA!$B$3:$E$23,3,0),),)</f>
        <v>0.93499999999999994</v>
      </c>
      <c r="N6" s="642">
        <f>IFERROR(IF(B6="funkcna poziadavka",VLOOKUP(G6,MODULY_CBA!$B$3:$E$23,2,0),),)</f>
        <v>1.18</v>
      </c>
      <c r="O6" s="643">
        <f t="shared" si="2"/>
        <v>11.503524999999998</v>
      </c>
      <c r="P6" s="644">
        <f>IFERROR(O6*VLOOKUP(G6,MODULY_CBA!$B$3:$F$23,5,0),)</f>
        <v>345.10574999999994</v>
      </c>
      <c r="Q6" s="478" t="str">
        <f>IFERROR(VLOOKUP(G6,MODULY_CBA!$B$3:$I$23,6,0),"")</f>
        <v>Inkrement 2</v>
      </c>
      <c r="R6" s="384"/>
      <c r="S6" s="384"/>
      <c r="T6" s="384"/>
      <c r="U6" s="384"/>
      <c r="V6" s="396"/>
      <c r="W6" s="376"/>
      <c r="X6" s="376"/>
      <c r="Y6" s="384"/>
      <c r="Z6" s="384"/>
      <c r="AA6" s="384"/>
      <c r="AB6" s="384"/>
      <c r="AC6" s="384"/>
      <c r="AD6" s="384"/>
      <c r="AE6" s="384"/>
      <c r="AF6" s="398"/>
      <c r="AG6" s="397"/>
    </row>
    <row r="7" spans="1:33" s="393" customFormat="1" ht="25.5">
      <c r="A7" s="401">
        <v>5</v>
      </c>
      <c r="B7" s="401" t="s">
        <v>475</v>
      </c>
      <c r="C7" s="530" t="s">
        <v>476</v>
      </c>
      <c r="D7" s="389" t="s">
        <v>481</v>
      </c>
      <c r="E7" s="389"/>
      <c r="F7" s="389" t="s">
        <v>8</v>
      </c>
      <c r="G7" s="389" t="s">
        <v>255</v>
      </c>
      <c r="H7" s="379">
        <v>2</v>
      </c>
      <c r="I7" s="379">
        <v>5</v>
      </c>
      <c r="J7" s="379">
        <f t="shared" si="0"/>
        <v>2</v>
      </c>
      <c r="K7" s="642">
        <f t="shared" si="1"/>
        <v>10</v>
      </c>
      <c r="L7" s="643">
        <f>IFERROR(IF(B7="funkcna poziadavka",VLOOKUP(G7,MODULY_CBA!$B$3:$E$23,4,0)*H7/SUMIFS($H$3:$H$199,$G$3:$G$199,G7,$B$3:$B$199,B7),),)</f>
        <v>0.21323529411764705</v>
      </c>
      <c r="M7" s="642">
        <f>IFERROR(IF(B7="Funkcna poziadavka",VLOOKUP(G7,MODULY_CBA!$B$3:$E$23,3,0),),)</f>
        <v>0.93499999999999994</v>
      </c>
      <c r="N7" s="642">
        <f>IFERROR(IF(B7="funkcna poziadavka",VLOOKUP(G7,MODULY_CBA!$B$3:$E$23,2,0),),)</f>
        <v>1.18</v>
      </c>
      <c r="O7" s="643">
        <f t="shared" si="2"/>
        <v>11.503524999999998</v>
      </c>
      <c r="P7" s="644">
        <f>IFERROR(O7*VLOOKUP(G7,MODULY_CBA!$B$3:$F$23,5,0),)</f>
        <v>345.10574999999994</v>
      </c>
      <c r="Q7" s="478" t="str">
        <f>IFERROR(VLOOKUP(G7,MODULY_CBA!$B$3:$I$23,6,0),"")</f>
        <v>Inkrement 2</v>
      </c>
      <c r="R7" s="384"/>
      <c r="S7" s="384"/>
      <c r="T7" s="384"/>
      <c r="U7" s="384"/>
      <c r="V7" s="396"/>
      <c r="W7" s="376"/>
      <c r="X7" s="376"/>
      <c r="Y7" s="384"/>
      <c r="Z7" s="384"/>
      <c r="AA7" s="384"/>
      <c r="AB7" s="384"/>
      <c r="AC7" s="384"/>
      <c r="AD7" s="384"/>
      <c r="AE7" s="384"/>
      <c r="AF7" s="398"/>
      <c r="AG7" s="397"/>
    </row>
    <row r="8" spans="1:33" s="393" customFormat="1" ht="25.5">
      <c r="A8" s="401">
        <v>6</v>
      </c>
      <c r="B8" s="401" t="s">
        <v>475</v>
      </c>
      <c r="C8" s="530" t="s">
        <v>476</v>
      </c>
      <c r="D8" s="389" t="s">
        <v>482</v>
      </c>
      <c r="E8" s="389"/>
      <c r="F8" s="389" t="s">
        <v>8</v>
      </c>
      <c r="G8" s="389" t="s">
        <v>255</v>
      </c>
      <c r="H8" s="379">
        <v>2</v>
      </c>
      <c r="I8" s="379">
        <v>5</v>
      </c>
      <c r="J8" s="379">
        <f t="shared" si="0"/>
        <v>2</v>
      </c>
      <c r="K8" s="642">
        <f t="shared" si="1"/>
        <v>10</v>
      </c>
      <c r="L8" s="643">
        <f>IFERROR(IF(B8="funkcna poziadavka",VLOOKUP(G8,MODULY_CBA!$B$3:$E$23,4,0)*H8/SUMIFS($H$3:$H$199,$G$3:$G$199,G8,$B$3:$B$199,B8),),)</f>
        <v>0.21323529411764705</v>
      </c>
      <c r="M8" s="642">
        <f>IFERROR(IF(B8="Funkcna poziadavka",VLOOKUP(G8,MODULY_CBA!$B$3:$E$23,3,0),),)</f>
        <v>0.93499999999999994</v>
      </c>
      <c r="N8" s="642">
        <f>IFERROR(IF(B8="funkcna poziadavka",VLOOKUP(G8,MODULY_CBA!$B$3:$E$23,2,0),),)</f>
        <v>1.18</v>
      </c>
      <c r="O8" s="643">
        <f t="shared" si="2"/>
        <v>11.503524999999998</v>
      </c>
      <c r="P8" s="644">
        <f>IFERROR(O8*VLOOKUP(G8,MODULY_CBA!$B$3:$F$23,5,0),)</f>
        <v>345.10574999999994</v>
      </c>
      <c r="Q8" s="478" t="str">
        <f>IFERROR(VLOOKUP(G8,MODULY_CBA!$B$3:$I$23,6,0),"")</f>
        <v>Inkrement 2</v>
      </c>
      <c r="R8" s="384"/>
      <c r="S8" s="384"/>
      <c r="T8" s="384"/>
      <c r="U8" s="384"/>
      <c r="V8" s="396"/>
      <c r="W8" s="376"/>
      <c r="X8" s="376"/>
      <c r="Y8" s="384"/>
      <c r="Z8" s="384"/>
      <c r="AA8" s="384"/>
      <c r="AB8" s="384"/>
      <c r="AC8" s="384"/>
      <c r="AD8" s="384"/>
      <c r="AE8" s="384"/>
      <c r="AF8" s="398"/>
      <c r="AG8" s="397"/>
    </row>
    <row r="9" spans="1:33" s="393" customFormat="1" ht="25.5">
      <c r="A9" s="401">
        <v>7</v>
      </c>
      <c r="B9" s="401" t="s">
        <v>475</v>
      </c>
      <c r="C9" s="530" t="s">
        <v>476</v>
      </c>
      <c r="D9" s="389" t="s">
        <v>483</v>
      </c>
      <c r="E9" s="389"/>
      <c r="F9" s="389" t="s">
        <v>8</v>
      </c>
      <c r="G9" s="389" t="s">
        <v>255</v>
      </c>
      <c r="H9" s="379">
        <v>2</v>
      </c>
      <c r="I9" s="379">
        <v>5</v>
      </c>
      <c r="J9" s="379">
        <f t="shared" si="0"/>
        <v>2</v>
      </c>
      <c r="K9" s="642">
        <f t="shared" si="1"/>
        <v>10</v>
      </c>
      <c r="L9" s="643">
        <f>IFERROR(IF(B9="funkcna poziadavka",VLOOKUP(G9,MODULY_CBA!$B$3:$E$23,4,0)*H9/SUMIFS($H$3:$H$199,$G$3:$G$199,G9,$B$3:$B$199,B9),),)</f>
        <v>0.21323529411764705</v>
      </c>
      <c r="M9" s="642">
        <f>IFERROR(IF(B9="Funkcna poziadavka",VLOOKUP(G9,MODULY_CBA!$B$3:$E$23,3,0),),)</f>
        <v>0.93499999999999994</v>
      </c>
      <c r="N9" s="642">
        <f>IFERROR(IF(B9="funkcna poziadavka",VLOOKUP(G9,MODULY_CBA!$B$3:$E$23,2,0),),)</f>
        <v>1.18</v>
      </c>
      <c r="O9" s="643">
        <f t="shared" si="2"/>
        <v>11.503524999999998</v>
      </c>
      <c r="P9" s="644">
        <f>IFERROR(O9*VLOOKUP(G9,MODULY_CBA!$B$3:$F$23,5,0),)</f>
        <v>345.10574999999994</v>
      </c>
      <c r="Q9" s="478" t="str">
        <f>IFERROR(VLOOKUP(G9,MODULY_CBA!$B$3:$I$23,6,0),"")</f>
        <v>Inkrement 2</v>
      </c>
      <c r="R9" s="384"/>
      <c r="S9" s="384"/>
      <c r="T9" s="384"/>
      <c r="U9" s="384"/>
      <c r="V9" s="396"/>
      <c r="W9" s="376"/>
      <c r="X9" s="376"/>
      <c r="Y9" s="384"/>
      <c r="Z9" s="384"/>
      <c r="AA9" s="384"/>
      <c r="AB9" s="384"/>
      <c r="AC9" s="384"/>
      <c r="AD9" s="384"/>
      <c r="AE9" s="384"/>
      <c r="AF9" s="398"/>
      <c r="AG9" s="397"/>
    </row>
    <row r="10" spans="1:33" s="393" customFormat="1" ht="25.5">
      <c r="A10" s="401">
        <v>8</v>
      </c>
      <c r="B10" s="401" t="s">
        <v>475</v>
      </c>
      <c r="C10" s="530" t="s">
        <v>476</v>
      </c>
      <c r="D10" s="389" t="s">
        <v>484</v>
      </c>
      <c r="E10" s="389"/>
      <c r="F10" s="389" t="s">
        <v>8</v>
      </c>
      <c r="G10" s="389" t="s">
        <v>255</v>
      </c>
      <c r="H10" s="379">
        <v>2</v>
      </c>
      <c r="I10" s="379">
        <v>5</v>
      </c>
      <c r="J10" s="379">
        <f t="shared" si="0"/>
        <v>2</v>
      </c>
      <c r="K10" s="642">
        <f t="shared" si="1"/>
        <v>10</v>
      </c>
      <c r="L10" s="643">
        <f>IFERROR(IF(B10="funkcna poziadavka",VLOOKUP(G10,MODULY_CBA!$B$3:$E$23,4,0)*H10/SUMIFS($H$3:$H$199,$G$3:$G$199,G10,$B$3:$B$199,B10),),)</f>
        <v>0.21323529411764705</v>
      </c>
      <c r="M10" s="642">
        <f>IFERROR(IF(B10="Funkcna poziadavka",VLOOKUP(G10,MODULY_CBA!$B$3:$E$23,3,0),),)</f>
        <v>0.93499999999999994</v>
      </c>
      <c r="N10" s="642">
        <f>IFERROR(IF(B10="funkcna poziadavka",VLOOKUP(G10,MODULY_CBA!$B$3:$E$23,2,0),),)</f>
        <v>1.18</v>
      </c>
      <c r="O10" s="643">
        <f t="shared" si="2"/>
        <v>11.503524999999998</v>
      </c>
      <c r="P10" s="644">
        <f>IFERROR(O10*VLOOKUP(G10,MODULY_CBA!$B$3:$F$23,5,0),)</f>
        <v>345.10574999999994</v>
      </c>
      <c r="Q10" s="478" t="str">
        <f>IFERROR(VLOOKUP(G10,MODULY_CBA!$B$3:$I$23,6,0),"")</f>
        <v>Inkrement 2</v>
      </c>
      <c r="R10" s="384"/>
      <c r="S10" s="384"/>
      <c r="T10" s="384"/>
      <c r="U10" s="384"/>
      <c r="V10" s="396"/>
      <c r="W10" s="376"/>
      <c r="X10" s="376"/>
      <c r="Y10" s="384"/>
      <c r="Z10" s="384"/>
      <c r="AA10" s="384"/>
      <c r="AB10" s="384"/>
      <c r="AC10" s="384"/>
      <c r="AD10" s="384"/>
      <c r="AE10" s="384"/>
      <c r="AF10" s="398"/>
      <c r="AG10" s="397"/>
    </row>
    <row r="11" spans="1:33" s="393" customFormat="1" ht="25.5">
      <c r="A11" s="401">
        <v>9</v>
      </c>
      <c r="B11" s="401" t="s">
        <v>475</v>
      </c>
      <c r="C11" s="530" t="s">
        <v>476</v>
      </c>
      <c r="D11" s="389" t="s">
        <v>485</v>
      </c>
      <c r="E11" s="389"/>
      <c r="F11" s="389" t="s">
        <v>8</v>
      </c>
      <c r="G11" s="389" t="s">
        <v>255</v>
      </c>
      <c r="H11" s="379">
        <v>2</v>
      </c>
      <c r="I11" s="379">
        <v>5</v>
      </c>
      <c r="J11" s="379">
        <f t="shared" si="0"/>
        <v>2</v>
      </c>
      <c r="K11" s="642">
        <f t="shared" si="1"/>
        <v>10</v>
      </c>
      <c r="L11" s="643">
        <f>IFERROR(IF(B11="funkcna poziadavka",VLOOKUP(G11,MODULY_CBA!$B$3:$E$23,4,0)*H11/SUMIFS($H$3:$H$199,$G$3:$G$199,G11,$B$3:$B$199,B11),),)</f>
        <v>0.21323529411764705</v>
      </c>
      <c r="M11" s="642">
        <f>IFERROR(IF(B11="Funkcna poziadavka",VLOOKUP(G11,MODULY_CBA!$B$3:$E$23,3,0),),)</f>
        <v>0.93499999999999994</v>
      </c>
      <c r="N11" s="642">
        <f>IFERROR(IF(B11="funkcna poziadavka",VLOOKUP(G11,MODULY_CBA!$B$3:$E$23,2,0),),)</f>
        <v>1.18</v>
      </c>
      <c r="O11" s="643">
        <f t="shared" si="2"/>
        <v>11.503524999999998</v>
      </c>
      <c r="P11" s="644">
        <f>IFERROR(O11*VLOOKUP(G11,MODULY_CBA!$B$3:$F$23,5,0),)</f>
        <v>345.10574999999994</v>
      </c>
      <c r="Q11" s="478" t="str">
        <f>IFERROR(VLOOKUP(G11,MODULY_CBA!$B$3:$I$23,6,0),"")</f>
        <v>Inkrement 2</v>
      </c>
      <c r="R11" s="384"/>
      <c r="S11" s="384"/>
      <c r="T11" s="384"/>
      <c r="U11" s="384"/>
      <c r="V11" s="396"/>
      <c r="W11" s="376"/>
      <c r="X11" s="376"/>
      <c r="Y11" s="384"/>
      <c r="Z11" s="384"/>
      <c r="AA11" s="384"/>
      <c r="AB11" s="384"/>
      <c r="AC11" s="384"/>
      <c r="AD11" s="384"/>
      <c r="AE11" s="384"/>
      <c r="AF11" s="395"/>
      <c r="AG11" s="394"/>
    </row>
    <row r="12" spans="1:33" ht="25.5">
      <c r="A12" s="401">
        <v>10</v>
      </c>
      <c r="B12" s="401" t="s">
        <v>475</v>
      </c>
      <c r="C12" s="530" t="s">
        <v>476</v>
      </c>
      <c r="D12" s="389" t="s">
        <v>486</v>
      </c>
      <c r="E12" s="531"/>
      <c r="F12" s="389" t="s">
        <v>8</v>
      </c>
      <c r="G12" s="389" t="s">
        <v>255</v>
      </c>
      <c r="H12" s="379">
        <v>2</v>
      </c>
      <c r="I12" s="379">
        <v>5</v>
      </c>
      <c r="J12" s="379">
        <f t="shared" si="0"/>
        <v>2</v>
      </c>
      <c r="K12" s="379">
        <f t="shared" si="1"/>
        <v>10</v>
      </c>
      <c r="L12" s="643">
        <f>IFERROR(IF(B12="funkcna poziadavka",VLOOKUP(G12,MODULY_CBA!$B$3:$E$23,4,0)*H12/SUMIFS($H$3:$H$199,$G$3:$G$199,G12,$B$3:$B$199,B12),),)</f>
        <v>0.21323529411764705</v>
      </c>
      <c r="M12" s="379">
        <f>IFERROR(IF(B12="Funkcna poziadavka",VLOOKUP(G12,MODULY_CBA!$B$3:$E$23,3,0),),)</f>
        <v>0.93499999999999994</v>
      </c>
      <c r="N12" s="379">
        <f>IFERROR(IF(B12="funkcna poziadavka",VLOOKUP(G12,MODULY_CBA!$B$3:$E$23,2,0),),)</f>
        <v>1.18</v>
      </c>
      <c r="O12" s="378">
        <f t="shared" ref="O12:O34" si="3">(K12+L12)*M12*N12</f>
        <v>11.268262499999999</v>
      </c>
      <c r="P12" s="377">
        <f>IFERROR(O12*VLOOKUP(G12,MODULY_CBA!$B$3:$F$23,5,0),)</f>
        <v>338.04787499999998</v>
      </c>
      <c r="Q12" s="478" t="str">
        <f>IFERROR(VLOOKUP(G12,MODULY_CBA!$B$3:$I$23,6,0),"")</f>
        <v>Inkrement 2</v>
      </c>
      <c r="R12" s="385"/>
      <c r="S12" s="385"/>
      <c r="T12" s="385"/>
      <c r="U12" s="385"/>
      <c r="V12" s="385"/>
      <c r="W12" s="385"/>
      <c r="X12" s="385"/>
      <c r="Y12" s="385"/>
      <c r="Z12" s="385"/>
      <c r="AA12" s="385"/>
      <c r="AB12" s="385"/>
      <c r="AC12" s="385"/>
      <c r="AD12" s="385"/>
      <c r="AE12" s="385"/>
      <c r="AF12" s="391"/>
      <c r="AG12" s="385"/>
    </row>
    <row r="13" spans="1:33" ht="25.5">
      <c r="A13" s="401">
        <v>11</v>
      </c>
      <c r="B13" s="401" t="s">
        <v>475</v>
      </c>
      <c r="C13" s="530" t="s">
        <v>476</v>
      </c>
      <c r="D13" s="389" t="s">
        <v>487</v>
      </c>
      <c r="E13" s="389"/>
      <c r="F13" s="389" t="s">
        <v>8</v>
      </c>
      <c r="G13" s="389" t="s">
        <v>255</v>
      </c>
      <c r="H13" s="379">
        <v>2</v>
      </c>
      <c r="I13" s="379">
        <v>5</v>
      </c>
      <c r="J13" s="379">
        <f t="shared" si="0"/>
        <v>2</v>
      </c>
      <c r="K13" s="379">
        <f t="shared" si="1"/>
        <v>10</v>
      </c>
      <c r="L13" s="643">
        <f>IFERROR(IF(B13="funkcna poziadavka",VLOOKUP(G13,MODULY_CBA!$B$3:$E$23,4,0)*H13/SUMIFS($H$3:$H$199,$G$3:$G$199,G13,$B$3:$B$199,B13),),)</f>
        <v>0.21323529411764705</v>
      </c>
      <c r="M13" s="379">
        <f>IFERROR(IF(B13="Funkcna poziadavka",VLOOKUP(G13,MODULY_CBA!$B$3:$E$23,3,0),),)</f>
        <v>0.93499999999999994</v>
      </c>
      <c r="N13" s="379">
        <f>IFERROR(IF(B13="funkcna poziadavka",VLOOKUP(G13,MODULY_CBA!$B$3:$E$23,2,0),),)</f>
        <v>1.18</v>
      </c>
      <c r="O13" s="378">
        <f t="shared" si="3"/>
        <v>11.268262499999999</v>
      </c>
      <c r="P13" s="377">
        <f>IFERROR(O13*VLOOKUP(G13,MODULY_CBA!$B$3:$F$23,5,0),)</f>
        <v>338.04787499999998</v>
      </c>
      <c r="Q13" s="478" t="str">
        <f>IFERROR(VLOOKUP(G13,MODULY_CBA!$B$3:$I$23,6,0),"")</f>
        <v>Inkrement 2</v>
      </c>
      <c r="R13" s="385"/>
      <c r="S13" s="385"/>
      <c r="T13" s="385"/>
      <c r="U13" s="385"/>
      <c r="V13" s="385"/>
      <c r="W13" s="385"/>
      <c r="X13" s="385"/>
      <c r="Y13" s="385"/>
      <c r="Z13" s="385"/>
      <c r="AA13" s="385"/>
      <c r="AB13" s="385"/>
      <c r="AC13" s="385"/>
      <c r="AD13" s="385"/>
      <c r="AE13" s="385"/>
      <c r="AF13" s="391"/>
      <c r="AG13" s="385"/>
    </row>
    <row r="14" spans="1:33" ht="25.5">
      <c r="A14" s="401">
        <v>12</v>
      </c>
      <c r="B14" s="401" t="s">
        <v>475</v>
      </c>
      <c r="C14" s="530" t="s">
        <v>476</v>
      </c>
      <c r="D14" s="389" t="s">
        <v>488</v>
      </c>
      <c r="E14" s="531"/>
      <c r="F14" s="389" t="s">
        <v>8</v>
      </c>
      <c r="G14" s="389" t="s">
        <v>255</v>
      </c>
      <c r="H14" s="379">
        <v>2</v>
      </c>
      <c r="I14" s="379">
        <v>5</v>
      </c>
      <c r="J14" s="379">
        <f t="shared" si="0"/>
        <v>2</v>
      </c>
      <c r="K14" s="379">
        <f t="shared" si="1"/>
        <v>10</v>
      </c>
      <c r="L14" s="643">
        <f>IFERROR(IF(B14="funkcna poziadavka",VLOOKUP(G14,MODULY_CBA!$B$3:$E$23,4,0)*H14/SUMIFS($H$3:$H$199,$G$3:$G$199,G14,$B$3:$B$199,B14),),)</f>
        <v>0.21323529411764705</v>
      </c>
      <c r="M14" s="379">
        <f>IFERROR(IF(B14="Funkcna poziadavka",VLOOKUP(G14,MODULY_CBA!$B$3:$E$23,3,0),),)</f>
        <v>0.93499999999999994</v>
      </c>
      <c r="N14" s="379">
        <f>IFERROR(IF(B14="funkcna poziadavka",VLOOKUP(G14,MODULY_CBA!$B$3:$E$23,2,0),),)</f>
        <v>1.18</v>
      </c>
      <c r="O14" s="378">
        <f t="shared" si="3"/>
        <v>11.268262499999999</v>
      </c>
      <c r="P14" s="377">
        <f>IFERROR(O14*VLOOKUP(G14,MODULY_CBA!$B$3:$F$23,5,0),)</f>
        <v>338.04787499999998</v>
      </c>
      <c r="Q14" s="478" t="str">
        <f>IFERROR(VLOOKUP(G14,MODULY_CBA!$B$3:$I$23,6,0),"")</f>
        <v>Inkrement 2</v>
      </c>
      <c r="R14" s="385"/>
      <c r="S14" s="385"/>
      <c r="T14" s="385"/>
      <c r="U14" s="385"/>
      <c r="V14" s="385"/>
      <c r="W14" s="385"/>
      <c r="X14" s="385"/>
      <c r="Y14" s="385"/>
      <c r="Z14" s="385"/>
      <c r="AA14" s="385"/>
      <c r="AB14" s="385"/>
      <c r="AC14" s="385"/>
      <c r="AD14" s="385"/>
      <c r="AE14" s="385"/>
      <c r="AF14" s="391"/>
      <c r="AG14" s="385"/>
    </row>
    <row r="15" spans="1:33" ht="25.5">
      <c r="A15" s="401">
        <v>13</v>
      </c>
      <c r="B15" s="401" t="s">
        <v>475</v>
      </c>
      <c r="C15" s="530" t="s">
        <v>476</v>
      </c>
      <c r="D15" s="389" t="s">
        <v>489</v>
      </c>
      <c r="E15" s="531"/>
      <c r="F15" s="389" t="s">
        <v>8</v>
      </c>
      <c r="G15" s="389" t="s">
        <v>255</v>
      </c>
      <c r="H15" s="379">
        <v>2</v>
      </c>
      <c r="I15" s="379">
        <v>5</v>
      </c>
      <c r="J15" s="379">
        <f t="shared" si="0"/>
        <v>2</v>
      </c>
      <c r="K15" s="379">
        <f t="shared" si="1"/>
        <v>10</v>
      </c>
      <c r="L15" s="643">
        <f>IFERROR(IF(B15="funkcna poziadavka",VLOOKUP(G15,MODULY_CBA!$B$3:$E$23,4,0)*H15/SUMIFS($H$3:$H$199,$G$3:$G$199,G15,$B$3:$B$199,B15),),)</f>
        <v>0.21323529411764705</v>
      </c>
      <c r="M15" s="379">
        <f>IFERROR(IF(B15="Funkcna poziadavka",VLOOKUP(G15,MODULY_CBA!$B$3:$E$23,3,0),),)</f>
        <v>0.93499999999999994</v>
      </c>
      <c r="N15" s="379">
        <f>IFERROR(IF(B15="funkcna poziadavka",VLOOKUP(G15,MODULY_CBA!$B$3:$E$23,2,0),),)</f>
        <v>1.18</v>
      </c>
      <c r="O15" s="378">
        <f t="shared" si="3"/>
        <v>11.268262499999999</v>
      </c>
      <c r="P15" s="377">
        <f>IFERROR(O15*VLOOKUP(G15,MODULY_CBA!$B$3:$F$23,5,0),)</f>
        <v>338.04787499999998</v>
      </c>
      <c r="Q15" s="478" t="str">
        <f>IFERROR(VLOOKUP(G15,MODULY_CBA!$B$3:$I$23,6,0),"")</f>
        <v>Inkrement 2</v>
      </c>
      <c r="R15" s="385"/>
      <c r="S15" s="385"/>
      <c r="T15" s="385"/>
      <c r="U15" s="385"/>
      <c r="V15" s="385"/>
      <c r="W15" s="385"/>
      <c r="X15" s="385"/>
      <c r="Y15" s="385"/>
      <c r="Z15" s="385"/>
      <c r="AA15" s="385"/>
      <c r="AB15" s="385"/>
      <c r="AC15" s="385"/>
      <c r="AD15" s="385"/>
      <c r="AE15" s="385"/>
      <c r="AF15" s="391"/>
      <c r="AG15" s="385"/>
    </row>
    <row r="16" spans="1:33" ht="25.5">
      <c r="A16" s="401">
        <v>14</v>
      </c>
      <c r="B16" s="401" t="s">
        <v>475</v>
      </c>
      <c r="C16" s="530" t="s">
        <v>476</v>
      </c>
      <c r="D16" s="389" t="s">
        <v>490</v>
      </c>
      <c r="E16" s="531"/>
      <c r="F16" s="389" t="s">
        <v>8</v>
      </c>
      <c r="G16" s="389" t="s">
        <v>255</v>
      </c>
      <c r="H16" s="379">
        <v>2</v>
      </c>
      <c r="I16" s="379">
        <v>5</v>
      </c>
      <c r="J16" s="379">
        <f t="shared" si="0"/>
        <v>2</v>
      </c>
      <c r="K16" s="379">
        <f t="shared" si="1"/>
        <v>10</v>
      </c>
      <c r="L16" s="643">
        <f>IFERROR(IF(B16="funkcna poziadavka",VLOOKUP(G16,MODULY_CBA!$B$3:$E$23,4,0)*H16/SUMIFS($H$3:$H$199,$G$3:$G$199,G16,$B$3:$B$199,B16),),)</f>
        <v>0.21323529411764705</v>
      </c>
      <c r="M16" s="379">
        <f>IFERROR(IF(B16="Funkcna poziadavka",VLOOKUP(G16,MODULY_CBA!$B$3:$E$23,3,0),),)</f>
        <v>0.93499999999999994</v>
      </c>
      <c r="N16" s="379">
        <f>IFERROR(IF(B16="funkcna poziadavka",VLOOKUP(G16,MODULY_CBA!$B$3:$E$23,2,0),),)</f>
        <v>1.18</v>
      </c>
      <c r="O16" s="378">
        <f t="shared" si="3"/>
        <v>11.268262499999999</v>
      </c>
      <c r="P16" s="377">
        <f>IFERROR(O16*VLOOKUP(G16,MODULY_CBA!$B$3:$F$23,5,0),)</f>
        <v>338.04787499999998</v>
      </c>
      <c r="Q16" s="478" t="str">
        <f>IFERROR(VLOOKUP(G16,MODULY_CBA!$B$3:$I$23,6,0),"")</f>
        <v>Inkrement 2</v>
      </c>
      <c r="R16" s="385"/>
      <c r="S16" s="385"/>
      <c r="T16" s="385"/>
      <c r="U16" s="385"/>
      <c r="V16" s="385"/>
      <c r="W16" s="385"/>
      <c r="X16" s="385"/>
      <c r="Y16" s="385"/>
      <c r="Z16" s="385"/>
      <c r="AA16" s="385"/>
      <c r="AB16" s="385"/>
      <c r="AC16" s="385"/>
      <c r="AD16" s="385"/>
      <c r="AE16" s="385"/>
      <c r="AF16" s="391"/>
      <c r="AG16" s="385"/>
    </row>
    <row r="17" spans="1:33" ht="25.5">
      <c r="A17" s="401">
        <v>15</v>
      </c>
      <c r="B17" s="401" t="s">
        <v>475</v>
      </c>
      <c r="C17" s="530" t="s">
        <v>476</v>
      </c>
      <c r="D17" s="532" t="s">
        <v>491</v>
      </c>
      <c r="E17" s="532"/>
      <c r="F17" s="389" t="s">
        <v>8</v>
      </c>
      <c r="G17" s="389" t="s">
        <v>255</v>
      </c>
      <c r="H17" s="379">
        <v>2</v>
      </c>
      <c r="I17" s="379">
        <v>5</v>
      </c>
      <c r="J17" s="379">
        <f t="shared" si="0"/>
        <v>2</v>
      </c>
      <c r="K17" s="379">
        <f t="shared" si="1"/>
        <v>10</v>
      </c>
      <c r="L17" s="643">
        <f>IFERROR(IF(B17="funkcna poziadavka",VLOOKUP(G17,MODULY_CBA!$B$3:$E$23,4,0)*H17/SUMIFS($H$3:$H$199,$G$3:$G$199,G17,$B$3:$B$199,B17),),)</f>
        <v>0.21323529411764705</v>
      </c>
      <c r="M17" s="379">
        <f>IFERROR(IF(B17="Funkcna poziadavka",VLOOKUP(G17,MODULY_CBA!$B$3:$E$23,3,0),),)</f>
        <v>0.93499999999999994</v>
      </c>
      <c r="N17" s="379">
        <f>IFERROR(IF(B17="funkcna poziadavka",VLOOKUP(G17,MODULY_CBA!$B$3:$E$23,2,0),),)</f>
        <v>1.18</v>
      </c>
      <c r="O17" s="378">
        <f t="shared" si="3"/>
        <v>11.268262499999999</v>
      </c>
      <c r="P17" s="377">
        <f>IFERROR(O17*VLOOKUP(G17,MODULY_CBA!$B$3:$F$23,5,0),)</f>
        <v>338.04787499999998</v>
      </c>
      <c r="Q17" s="478" t="str">
        <f>IFERROR(VLOOKUP(G17,MODULY_CBA!$B$3:$I$23,6,0),"")</f>
        <v>Inkrement 2</v>
      </c>
      <c r="R17" s="385"/>
      <c r="S17" s="385"/>
      <c r="T17" s="385"/>
      <c r="U17" s="385"/>
      <c r="V17" s="385"/>
      <c r="W17" s="385"/>
      <c r="X17" s="385"/>
      <c r="Y17" s="385"/>
      <c r="Z17" s="385"/>
      <c r="AA17" s="385"/>
      <c r="AB17" s="385"/>
      <c r="AC17" s="385"/>
      <c r="AD17" s="385"/>
      <c r="AE17" s="385"/>
      <c r="AF17" s="391"/>
      <c r="AG17" s="385"/>
    </row>
    <row r="18" spans="1:33" ht="25.5">
      <c r="A18" s="401">
        <v>16</v>
      </c>
      <c r="B18" s="401" t="s">
        <v>475</v>
      </c>
      <c r="C18" s="530" t="s">
        <v>476</v>
      </c>
      <c r="D18" s="532" t="s">
        <v>492</v>
      </c>
      <c r="E18" s="533"/>
      <c r="F18" s="389" t="s">
        <v>8</v>
      </c>
      <c r="G18" s="389" t="s">
        <v>255</v>
      </c>
      <c r="H18" s="379">
        <v>2</v>
      </c>
      <c r="I18" s="379">
        <v>5</v>
      </c>
      <c r="J18" s="379">
        <f t="shared" si="0"/>
        <v>2</v>
      </c>
      <c r="K18" s="379">
        <f t="shared" si="1"/>
        <v>10</v>
      </c>
      <c r="L18" s="643">
        <f>IFERROR(IF(B18="funkcna poziadavka",VLOOKUP(G18,MODULY_CBA!$B$3:$E$23,4,0)*H18/SUMIFS($H$3:$H$199,$G$3:$G$199,G18,$B$3:$B$199,B18),),)</f>
        <v>0.21323529411764705</v>
      </c>
      <c r="M18" s="379">
        <f>IFERROR(IF(B18="Funkcna poziadavka",VLOOKUP(G18,MODULY_CBA!$B$3:$E$23,3,0),),)</f>
        <v>0.93499999999999994</v>
      </c>
      <c r="N18" s="379">
        <f>IFERROR(IF(B18="funkcna poziadavka",VLOOKUP(G18,MODULY_CBA!$B$3:$E$23,2,0),),)</f>
        <v>1.18</v>
      </c>
      <c r="O18" s="378">
        <f t="shared" si="3"/>
        <v>11.268262499999999</v>
      </c>
      <c r="P18" s="377">
        <f>IFERROR(O18*VLOOKUP(G18,MODULY_CBA!$B$3:$F$23,5,0),)</f>
        <v>338.04787499999998</v>
      </c>
      <c r="Q18" s="478" t="str">
        <f>IFERROR(VLOOKUP(G18,MODULY_CBA!$B$3:$I$23,6,0),"")</f>
        <v>Inkrement 2</v>
      </c>
      <c r="R18" s="385"/>
      <c r="S18" s="385"/>
      <c r="T18" s="385"/>
      <c r="U18" s="385"/>
      <c r="V18" s="385"/>
      <c r="W18" s="385"/>
      <c r="X18" s="385"/>
      <c r="Y18" s="385"/>
      <c r="Z18" s="385"/>
      <c r="AA18" s="385"/>
      <c r="AB18" s="385"/>
      <c r="AC18" s="385"/>
      <c r="AD18" s="385"/>
      <c r="AE18" s="385"/>
      <c r="AF18" s="391"/>
      <c r="AG18" s="385"/>
    </row>
    <row r="19" spans="1:33" ht="25.5">
      <c r="A19" s="401">
        <v>17</v>
      </c>
      <c r="B19" s="401" t="s">
        <v>475</v>
      </c>
      <c r="C19" s="530" t="s">
        <v>476</v>
      </c>
      <c r="D19" s="530" t="s">
        <v>493</v>
      </c>
      <c r="E19" s="389"/>
      <c r="F19" s="389" t="s">
        <v>8</v>
      </c>
      <c r="G19" s="389" t="s">
        <v>255</v>
      </c>
      <c r="H19" s="379">
        <v>2</v>
      </c>
      <c r="I19" s="379">
        <v>5</v>
      </c>
      <c r="J19" s="379">
        <f t="shared" si="0"/>
        <v>2</v>
      </c>
      <c r="K19" s="379">
        <f t="shared" si="1"/>
        <v>10</v>
      </c>
      <c r="L19" s="643">
        <f>IFERROR(IF(B19="funkcna poziadavka",VLOOKUP(G19,MODULY_CBA!$B$3:$E$23,4,0)*H19/SUMIFS($H$3:$H$199,$G$3:$G$199,G19,$B$3:$B$199,B19),),)</f>
        <v>0.21323529411764705</v>
      </c>
      <c r="M19" s="379">
        <f>IFERROR(IF(B19="Funkcna poziadavka",VLOOKUP(G19,MODULY_CBA!$B$3:$E$23,3,0),),)</f>
        <v>0.93499999999999994</v>
      </c>
      <c r="N19" s="379">
        <f>IFERROR(IF(B19="funkcna poziadavka",VLOOKUP(G19,MODULY_CBA!$B$3:$E$23,2,0),),)</f>
        <v>1.18</v>
      </c>
      <c r="O19" s="378">
        <f t="shared" si="3"/>
        <v>11.268262499999999</v>
      </c>
      <c r="P19" s="377">
        <f>IFERROR(O19*VLOOKUP(G19,MODULY_CBA!$B$3:$F$23,5,0),)</f>
        <v>338.04787499999998</v>
      </c>
      <c r="Q19" s="478" t="str">
        <f>IFERROR(VLOOKUP(G19,MODULY_CBA!$B$3:$I$23,6,0),"")</f>
        <v>Inkrement 2</v>
      </c>
      <c r="R19" s="375" t="s">
        <v>119</v>
      </c>
      <c r="S19" s="375" t="s">
        <v>119</v>
      </c>
      <c r="T19" s="375" t="s">
        <v>119</v>
      </c>
      <c r="U19" s="375" t="s">
        <v>119</v>
      </c>
      <c r="V19" s="375" t="s">
        <v>119</v>
      </c>
      <c r="W19" s="375" t="s">
        <v>119</v>
      </c>
      <c r="X19" s="375" t="s">
        <v>119</v>
      </c>
      <c r="Y19" s="375" t="s">
        <v>119</v>
      </c>
      <c r="Z19" s="375" t="s">
        <v>119</v>
      </c>
      <c r="AA19" s="375" t="s">
        <v>119</v>
      </c>
      <c r="AB19" s="375" t="s">
        <v>119</v>
      </c>
      <c r="AC19" s="375" t="s">
        <v>119</v>
      </c>
      <c r="AD19" s="375" t="s">
        <v>119</v>
      </c>
      <c r="AE19" s="375" t="s">
        <v>119</v>
      </c>
      <c r="AF19" s="391"/>
      <c r="AG19" s="385"/>
    </row>
    <row r="20" spans="1:33" ht="25.5">
      <c r="A20" s="401">
        <v>18</v>
      </c>
      <c r="B20" s="401" t="s">
        <v>475</v>
      </c>
      <c r="C20" s="530" t="s">
        <v>476</v>
      </c>
      <c r="D20" s="530" t="s">
        <v>494</v>
      </c>
      <c r="E20" s="389"/>
      <c r="F20" s="389" t="s">
        <v>8</v>
      </c>
      <c r="G20" s="389" t="s">
        <v>255</v>
      </c>
      <c r="H20" s="379">
        <v>2</v>
      </c>
      <c r="I20" s="379">
        <v>5</v>
      </c>
      <c r="J20" s="379">
        <f t="shared" si="0"/>
        <v>2</v>
      </c>
      <c r="K20" s="379">
        <f t="shared" si="1"/>
        <v>10</v>
      </c>
      <c r="L20" s="643">
        <f>IFERROR(IF(B20="funkcna poziadavka",VLOOKUP(G20,MODULY_CBA!$B$3:$E$23,4,0)*H20/SUMIFS($H$3:$H$199,$G$3:$G$199,G20,$B$3:$B$199,B20),),)</f>
        <v>0.21323529411764705</v>
      </c>
      <c r="M20" s="379">
        <f>IFERROR(IF(B20="Funkcna poziadavka",VLOOKUP(G20,MODULY_CBA!$B$3:$E$23,3,0),),)</f>
        <v>0.93499999999999994</v>
      </c>
      <c r="N20" s="379">
        <f>IFERROR(IF(B20="funkcna poziadavka",VLOOKUP(G20,MODULY_CBA!$B$3:$E$23,2,0),),)</f>
        <v>1.18</v>
      </c>
      <c r="O20" s="378">
        <f t="shared" si="3"/>
        <v>11.268262499999999</v>
      </c>
      <c r="P20" s="377">
        <f>IFERROR(O20*VLOOKUP(G20,MODULY_CBA!$B$3:$F$23,5,0),)</f>
        <v>338.04787499999998</v>
      </c>
      <c r="Q20" s="478" t="str">
        <f>IFERROR(VLOOKUP(G20,MODULY_CBA!$B$3:$I$23,6,0),"")</f>
        <v>Inkrement 2</v>
      </c>
      <c r="R20" s="375"/>
      <c r="S20" s="375"/>
      <c r="T20" s="375"/>
      <c r="U20" s="375"/>
      <c r="V20" s="375"/>
      <c r="W20" s="375"/>
      <c r="X20" s="375"/>
      <c r="Y20" s="375"/>
      <c r="Z20" s="375"/>
      <c r="AA20" s="375"/>
      <c r="AB20" s="375"/>
      <c r="AC20" s="375"/>
      <c r="AD20" s="375"/>
      <c r="AE20" s="375"/>
      <c r="AF20" s="391"/>
      <c r="AG20" s="385"/>
    </row>
    <row r="21" spans="1:33" ht="25.5">
      <c r="A21" s="401">
        <v>19</v>
      </c>
      <c r="B21" s="401" t="s">
        <v>475</v>
      </c>
      <c r="C21" s="530" t="s">
        <v>476</v>
      </c>
      <c r="D21" s="530" t="s">
        <v>495</v>
      </c>
      <c r="E21" s="389"/>
      <c r="F21" s="389" t="s">
        <v>8</v>
      </c>
      <c r="G21" s="389" t="s">
        <v>255</v>
      </c>
      <c r="H21" s="379">
        <v>2</v>
      </c>
      <c r="I21" s="379">
        <v>5</v>
      </c>
      <c r="J21" s="379">
        <f t="shared" si="0"/>
        <v>2</v>
      </c>
      <c r="K21" s="379">
        <f t="shared" si="1"/>
        <v>10</v>
      </c>
      <c r="L21" s="643">
        <f>IFERROR(IF(B21="funkcna poziadavka",VLOOKUP(G21,MODULY_CBA!$B$3:$E$23,4,0)*H21/SUMIFS($H$3:$H$199,$G$3:$G$199,G21,$B$3:$B$199,B21),),)</f>
        <v>0.21323529411764705</v>
      </c>
      <c r="M21" s="379">
        <f>IFERROR(IF(B21="Funkcna poziadavka",VLOOKUP(G21,MODULY_CBA!$B$3:$E$23,3,0),),)</f>
        <v>0.93499999999999994</v>
      </c>
      <c r="N21" s="379">
        <f>IFERROR(IF(B21="funkcna poziadavka",VLOOKUP(G21,MODULY_CBA!$B$3:$E$23,2,0),),)</f>
        <v>1.18</v>
      </c>
      <c r="O21" s="378">
        <f t="shared" si="3"/>
        <v>11.268262499999999</v>
      </c>
      <c r="P21" s="377">
        <f>IFERROR(O21*VLOOKUP(G21,MODULY_CBA!$B$3:$F$23,5,0),)</f>
        <v>338.04787499999998</v>
      </c>
      <c r="Q21" s="478" t="str">
        <f>IFERROR(VLOOKUP(G21,MODULY_CBA!$B$3:$I$23,6,0),"")</f>
        <v>Inkrement 2</v>
      </c>
      <c r="R21" s="375"/>
      <c r="S21" s="375"/>
      <c r="T21" s="375"/>
      <c r="U21" s="375"/>
      <c r="V21" s="375"/>
      <c r="W21" s="375"/>
      <c r="X21" s="375"/>
      <c r="Y21" s="375"/>
      <c r="Z21" s="375"/>
      <c r="AA21" s="375"/>
      <c r="AB21" s="375"/>
      <c r="AC21" s="375"/>
      <c r="AD21" s="375"/>
      <c r="AE21" s="375"/>
      <c r="AF21" s="391"/>
      <c r="AG21" s="385"/>
    </row>
    <row r="22" spans="1:33" ht="25.5">
      <c r="A22" s="401">
        <v>20</v>
      </c>
      <c r="B22" s="401" t="s">
        <v>475</v>
      </c>
      <c r="C22" s="530" t="s">
        <v>476</v>
      </c>
      <c r="D22" s="530" t="s">
        <v>496</v>
      </c>
      <c r="E22" s="389"/>
      <c r="F22" s="389" t="s">
        <v>8</v>
      </c>
      <c r="G22" s="389" t="s">
        <v>255</v>
      </c>
      <c r="H22" s="379">
        <v>2</v>
      </c>
      <c r="I22" s="379">
        <v>5</v>
      </c>
      <c r="J22" s="379">
        <f t="shared" si="0"/>
        <v>2</v>
      </c>
      <c r="K22" s="379">
        <f t="shared" si="1"/>
        <v>10</v>
      </c>
      <c r="L22" s="643">
        <f>IFERROR(IF(B22="funkcna poziadavka",VLOOKUP(G22,MODULY_CBA!$B$3:$E$23,4,0)*H22/SUMIFS($H$3:$H$199,$G$3:$G$199,G22,$B$3:$B$199,B22),),)</f>
        <v>0.21323529411764705</v>
      </c>
      <c r="M22" s="379">
        <f>IFERROR(IF(B22="Funkcna poziadavka",VLOOKUP(G22,MODULY_CBA!$B$3:$E$23,3,0),),)</f>
        <v>0.93499999999999994</v>
      </c>
      <c r="N22" s="379">
        <f>IFERROR(IF(B22="funkcna poziadavka",VLOOKUP(G22,MODULY_CBA!$B$3:$E$23,2,0),),)</f>
        <v>1.18</v>
      </c>
      <c r="O22" s="378">
        <f t="shared" si="3"/>
        <v>11.268262499999999</v>
      </c>
      <c r="P22" s="377">
        <f>IFERROR(O22*VLOOKUP(G22,MODULY_CBA!$B$3:$F$23,5,0),)</f>
        <v>338.04787499999998</v>
      </c>
      <c r="Q22" s="478" t="str">
        <f>IFERROR(VLOOKUP(G22,MODULY_CBA!$B$3:$I$23,6,0),"")</f>
        <v>Inkrement 2</v>
      </c>
      <c r="R22" s="375"/>
      <c r="S22" s="375"/>
      <c r="T22" s="375"/>
      <c r="U22" s="375"/>
      <c r="V22" s="375"/>
      <c r="W22" s="375"/>
      <c r="X22" s="375"/>
      <c r="Y22" s="375"/>
      <c r="Z22" s="375"/>
      <c r="AA22" s="375"/>
      <c r="AB22" s="375"/>
      <c r="AC22" s="375"/>
      <c r="AD22" s="375"/>
      <c r="AE22" s="375"/>
      <c r="AF22" s="391"/>
      <c r="AG22" s="385"/>
    </row>
    <row r="23" spans="1:33" ht="25.5">
      <c r="A23" s="401">
        <v>21</v>
      </c>
      <c r="B23" s="401" t="s">
        <v>475</v>
      </c>
      <c r="C23" s="530" t="s">
        <v>476</v>
      </c>
      <c r="D23" s="530" t="s">
        <v>497</v>
      </c>
      <c r="E23" s="389"/>
      <c r="F23" s="389" t="s">
        <v>8</v>
      </c>
      <c r="G23" s="389" t="s">
        <v>255</v>
      </c>
      <c r="H23" s="379">
        <v>2</v>
      </c>
      <c r="I23" s="379">
        <v>5</v>
      </c>
      <c r="J23" s="379">
        <f t="shared" si="0"/>
        <v>2</v>
      </c>
      <c r="K23" s="379">
        <f t="shared" si="1"/>
        <v>10</v>
      </c>
      <c r="L23" s="643">
        <f>IFERROR(IF(B23="funkcna poziadavka",VLOOKUP(G23,MODULY_CBA!$B$3:$E$23,4,0)*H23/SUMIFS($H$3:$H$199,$G$3:$G$199,G23,$B$3:$B$199,B23),),)</f>
        <v>0.21323529411764705</v>
      </c>
      <c r="M23" s="379">
        <f>IFERROR(IF(B23="Funkcna poziadavka",VLOOKUP(G23,MODULY_CBA!$B$3:$E$23,3,0),),)</f>
        <v>0.93499999999999994</v>
      </c>
      <c r="N23" s="379">
        <f>IFERROR(IF(B23="funkcna poziadavka",VLOOKUP(G23,MODULY_CBA!$B$3:$E$23,2,0),),)</f>
        <v>1.18</v>
      </c>
      <c r="O23" s="378">
        <f t="shared" si="3"/>
        <v>11.268262499999999</v>
      </c>
      <c r="P23" s="377">
        <f>IFERROR(O23*VLOOKUP(G23,MODULY_CBA!$B$3:$F$23,5,0),)</f>
        <v>338.04787499999998</v>
      </c>
      <c r="Q23" s="478" t="str">
        <f>IFERROR(VLOOKUP(G23,MODULY_CBA!$B$3:$I$23,6,0),"")</f>
        <v>Inkrement 2</v>
      </c>
      <c r="R23" s="375"/>
      <c r="S23" s="375"/>
      <c r="T23" s="375"/>
      <c r="U23" s="375"/>
      <c r="V23" s="375"/>
      <c r="W23" s="375"/>
      <c r="X23" s="375"/>
      <c r="Y23" s="375"/>
      <c r="Z23" s="375"/>
      <c r="AA23" s="375"/>
      <c r="AB23" s="375"/>
      <c r="AC23" s="375"/>
      <c r="AD23" s="375"/>
      <c r="AE23" s="375"/>
      <c r="AF23" s="391"/>
      <c r="AG23" s="385"/>
    </row>
    <row r="24" spans="1:33" ht="25.5">
      <c r="A24" s="401">
        <v>22</v>
      </c>
      <c r="B24" s="401" t="s">
        <v>475</v>
      </c>
      <c r="C24" s="530" t="s">
        <v>476</v>
      </c>
      <c r="D24" s="530" t="s">
        <v>498</v>
      </c>
      <c r="E24" s="530"/>
      <c r="F24" s="389" t="s">
        <v>8</v>
      </c>
      <c r="G24" s="389" t="s">
        <v>255</v>
      </c>
      <c r="H24" s="379">
        <v>2</v>
      </c>
      <c r="I24" s="379">
        <v>5</v>
      </c>
      <c r="J24" s="379">
        <f t="shared" si="0"/>
        <v>2</v>
      </c>
      <c r="K24" s="379">
        <f t="shared" si="1"/>
        <v>10</v>
      </c>
      <c r="L24" s="643">
        <f>IFERROR(IF(B24="funkcna poziadavka",VLOOKUP(G24,MODULY_CBA!$B$3:$E$23,4,0)*H24/SUMIFS($H$3:$H$199,$G$3:$G$199,G24,$B$3:$B$199,B24),),)</f>
        <v>0.21323529411764705</v>
      </c>
      <c r="M24" s="379">
        <f>IFERROR(IF(B24="Funkcna poziadavka",VLOOKUP(G24,MODULY_CBA!$B$3:$E$23,3,0),),)</f>
        <v>0.93499999999999994</v>
      </c>
      <c r="N24" s="379">
        <f>IFERROR(IF(B24="funkcna poziadavka",VLOOKUP(G24,MODULY_CBA!$B$3:$E$23,2,0),),)</f>
        <v>1.18</v>
      </c>
      <c r="O24" s="378">
        <f t="shared" si="3"/>
        <v>11.268262499999999</v>
      </c>
      <c r="P24" s="377">
        <f>IFERROR(O24*VLOOKUP(G24,MODULY_CBA!$B$3:$F$23,5,0),)</f>
        <v>338.04787499999998</v>
      </c>
      <c r="Q24" s="478" t="str">
        <f>IFERROR(VLOOKUP(G24,MODULY_CBA!$B$3:$I$23,6,0),"")</f>
        <v>Inkrement 2</v>
      </c>
      <c r="R24" s="375" t="s">
        <v>119</v>
      </c>
      <c r="S24" s="375" t="s">
        <v>119</v>
      </c>
      <c r="T24" s="375" t="s">
        <v>119</v>
      </c>
      <c r="U24" s="375" t="s">
        <v>119</v>
      </c>
      <c r="V24" s="375" t="s">
        <v>119</v>
      </c>
      <c r="W24" s="375" t="s">
        <v>119</v>
      </c>
      <c r="X24" s="375" t="s">
        <v>119</v>
      </c>
      <c r="Y24" s="375" t="s">
        <v>119</v>
      </c>
      <c r="Z24" s="375" t="s">
        <v>119</v>
      </c>
      <c r="AA24" s="375" t="s">
        <v>119</v>
      </c>
      <c r="AB24" s="375" t="s">
        <v>119</v>
      </c>
      <c r="AC24" s="375" t="s">
        <v>119</v>
      </c>
      <c r="AD24" s="375" t="s">
        <v>119</v>
      </c>
      <c r="AE24" s="375" t="s">
        <v>119</v>
      </c>
      <c r="AF24" s="391"/>
      <c r="AG24" s="385"/>
    </row>
    <row r="25" spans="1:33" ht="25.5">
      <c r="A25" s="401">
        <v>23</v>
      </c>
      <c r="B25" s="401" t="s">
        <v>475</v>
      </c>
      <c r="C25" s="530" t="s">
        <v>476</v>
      </c>
      <c r="D25" s="530" t="s">
        <v>499</v>
      </c>
      <c r="E25" s="530"/>
      <c r="F25" s="389" t="s">
        <v>8</v>
      </c>
      <c r="G25" s="389" t="s">
        <v>255</v>
      </c>
      <c r="H25" s="379">
        <v>2</v>
      </c>
      <c r="I25" s="379">
        <v>5</v>
      </c>
      <c r="J25" s="379">
        <f t="shared" si="0"/>
        <v>2</v>
      </c>
      <c r="K25" s="379">
        <f t="shared" si="1"/>
        <v>10</v>
      </c>
      <c r="L25" s="643">
        <f>IFERROR(IF(B25="funkcna poziadavka",VLOOKUP(G25,MODULY_CBA!$B$3:$E$23,4,0)*H25/SUMIFS($H$3:$H$199,$G$3:$G$199,G25,$B$3:$B$199,B25),),)</f>
        <v>0.21323529411764705</v>
      </c>
      <c r="M25" s="379">
        <f>IFERROR(IF(B25="Funkcna poziadavka",VLOOKUP(G25,MODULY_CBA!$B$3:$E$23,3,0),),)</f>
        <v>0.93499999999999994</v>
      </c>
      <c r="N25" s="379">
        <f>IFERROR(IF(B25="funkcna poziadavka",VLOOKUP(G25,MODULY_CBA!$B$3:$E$23,2,0),),)</f>
        <v>1.18</v>
      </c>
      <c r="O25" s="378">
        <f t="shared" si="3"/>
        <v>11.268262499999999</v>
      </c>
      <c r="P25" s="377">
        <f>IFERROR(O25*VLOOKUP(G25,MODULY_CBA!$B$3:$F$23,5,0),)</f>
        <v>338.04787499999998</v>
      </c>
      <c r="Q25" s="478" t="str">
        <f>IFERROR(VLOOKUP(G25,MODULY_CBA!$B$3:$I$23,6,0),"")</f>
        <v>Inkrement 2</v>
      </c>
      <c r="R25" s="375" t="s">
        <v>119</v>
      </c>
      <c r="S25" s="375" t="s">
        <v>119</v>
      </c>
      <c r="T25" s="375" t="s">
        <v>119</v>
      </c>
      <c r="U25" s="375" t="s">
        <v>119</v>
      </c>
      <c r="V25" s="375" t="s">
        <v>119</v>
      </c>
      <c r="W25" s="375" t="s">
        <v>119</v>
      </c>
      <c r="X25" s="375" t="s">
        <v>119</v>
      </c>
      <c r="Y25" s="375" t="s">
        <v>119</v>
      </c>
      <c r="Z25" s="375" t="s">
        <v>119</v>
      </c>
      <c r="AA25" s="375" t="s">
        <v>119</v>
      </c>
      <c r="AB25" s="375" t="s">
        <v>119</v>
      </c>
      <c r="AC25" s="375" t="s">
        <v>119</v>
      </c>
      <c r="AD25" s="375" t="s">
        <v>119</v>
      </c>
      <c r="AE25" s="375" t="s">
        <v>119</v>
      </c>
      <c r="AF25" s="392"/>
      <c r="AG25" s="384"/>
    </row>
    <row r="26" spans="1:33" ht="25.5">
      <c r="A26" s="401">
        <v>24</v>
      </c>
      <c r="B26" s="401" t="s">
        <v>475</v>
      </c>
      <c r="C26" s="530" t="s">
        <v>476</v>
      </c>
      <c r="D26" s="530" t="s">
        <v>500</v>
      </c>
      <c r="E26" s="530"/>
      <c r="F26" s="389" t="s">
        <v>8</v>
      </c>
      <c r="G26" s="389" t="s">
        <v>255</v>
      </c>
      <c r="H26" s="379">
        <v>2</v>
      </c>
      <c r="I26" s="379">
        <v>5</v>
      </c>
      <c r="J26" s="379">
        <f t="shared" si="0"/>
        <v>2</v>
      </c>
      <c r="K26" s="379">
        <f t="shared" si="1"/>
        <v>10</v>
      </c>
      <c r="L26" s="643">
        <f>IFERROR(IF(B26="funkcna poziadavka",VLOOKUP(G26,MODULY_CBA!$B$3:$E$23,4,0)*H26/SUMIFS($H$3:$H$199,$G$3:$G$199,G26,$B$3:$B$199,B26),),)</f>
        <v>0.21323529411764705</v>
      </c>
      <c r="M26" s="379">
        <f>IFERROR(IF(B26="Funkcna poziadavka",VLOOKUP(G26,MODULY_CBA!$B$3:$E$23,3,0),),)</f>
        <v>0.93499999999999994</v>
      </c>
      <c r="N26" s="379">
        <f>IFERROR(IF(B26="funkcna poziadavka",VLOOKUP(G26,MODULY_CBA!$B$3:$E$23,2,0),),)</f>
        <v>1.18</v>
      </c>
      <c r="O26" s="378">
        <f t="shared" si="3"/>
        <v>11.268262499999999</v>
      </c>
      <c r="P26" s="377">
        <f>IFERROR(O26*VLOOKUP(G26,MODULY_CBA!$B$3:$F$23,5,0),)</f>
        <v>338.04787499999998</v>
      </c>
      <c r="Q26" s="478" t="str">
        <f>IFERROR(VLOOKUP(G26,MODULY_CBA!$B$3:$I$23,6,0),"")</f>
        <v>Inkrement 2</v>
      </c>
      <c r="R26" s="375"/>
      <c r="S26" s="375"/>
      <c r="T26" s="375"/>
      <c r="U26" s="375"/>
      <c r="V26" s="375"/>
      <c r="W26" s="375"/>
      <c r="X26" s="375"/>
      <c r="Y26" s="375"/>
      <c r="Z26" s="375"/>
      <c r="AA26" s="375"/>
      <c r="AB26" s="375"/>
      <c r="AC26" s="375"/>
      <c r="AD26" s="375"/>
      <c r="AE26" s="375"/>
      <c r="AF26" s="391"/>
      <c r="AG26" s="385"/>
    </row>
    <row r="27" spans="1:33" ht="25.5">
      <c r="A27" s="401">
        <v>25</v>
      </c>
      <c r="B27" s="401" t="s">
        <v>475</v>
      </c>
      <c r="C27" s="530" t="s">
        <v>476</v>
      </c>
      <c r="D27" s="530" t="s">
        <v>501</v>
      </c>
      <c r="E27" s="389"/>
      <c r="F27" s="389" t="s">
        <v>8</v>
      </c>
      <c r="G27" s="389" t="s">
        <v>255</v>
      </c>
      <c r="H27" s="379">
        <v>2</v>
      </c>
      <c r="I27" s="379">
        <v>5</v>
      </c>
      <c r="J27" s="379">
        <f t="shared" si="0"/>
        <v>2</v>
      </c>
      <c r="K27" s="379">
        <f t="shared" si="1"/>
        <v>10</v>
      </c>
      <c r="L27" s="643">
        <f>IFERROR(IF(B27="funkcna poziadavka",VLOOKUP(G27,MODULY_CBA!$B$3:$E$23,4,0)*H27/SUMIFS($H$3:$H$199,$G$3:$G$199,G27,$B$3:$B$199,B27),),)</f>
        <v>0.21323529411764705</v>
      </c>
      <c r="M27" s="379">
        <f>IFERROR(IF(B27="Funkcna poziadavka",VLOOKUP(G27,MODULY_CBA!$B$3:$E$23,3,0),),)</f>
        <v>0.93499999999999994</v>
      </c>
      <c r="N27" s="379">
        <f>IFERROR(IF(B27="funkcna poziadavka",VLOOKUP(G27,MODULY_CBA!$B$3:$E$23,2,0),),)</f>
        <v>1.18</v>
      </c>
      <c r="O27" s="378">
        <f t="shared" si="3"/>
        <v>11.268262499999999</v>
      </c>
      <c r="P27" s="377">
        <f>IFERROR(O27*VLOOKUP(G27,MODULY_CBA!$B$3:$F$23,5,0),)</f>
        <v>338.04787499999998</v>
      </c>
      <c r="Q27" s="478" t="str">
        <f>IFERROR(VLOOKUP(G27,MODULY_CBA!$B$3:$I$23,6,0),"")</f>
        <v>Inkrement 2</v>
      </c>
      <c r="R27" s="375" t="s">
        <v>119</v>
      </c>
      <c r="S27" s="375" t="s">
        <v>119</v>
      </c>
      <c r="T27" s="375" t="s">
        <v>119</v>
      </c>
      <c r="U27" s="375" t="s">
        <v>119</v>
      </c>
      <c r="V27" s="375" t="s">
        <v>119</v>
      </c>
      <c r="W27" s="375" t="s">
        <v>119</v>
      </c>
      <c r="X27" s="375" t="s">
        <v>119</v>
      </c>
      <c r="Y27" s="375" t="s">
        <v>119</v>
      </c>
      <c r="Z27" s="375" t="s">
        <v>119</v>
      </c>
      <c r="AA27" s="375" t="s">
        <v>119</v>
      </c>
      <c r="AB27" s="375" t="s">
        <v>119</v>
      </c>
      <c r="AC27" s="375" t="s">
        <v>119</v>
      </c>
      <c r="AD27" s="375" t="s">
        <v>119</v>
      </c>
      <c r="AE27" s="375" t="s">
        <v>119</v>
      </c>
      <c r="AF27" s="391"/>
      <c r="AG27" s="385"/>
    </row>
    <row r="28" spans="1:33" ht="25.5">
      <c r="A28" s="401">
        <v>26</v>
      </c>
      <c r="B28" s="401" t="s">
        <v>475</v>
      </c>
      <c r="C28" s="530" t="s">
        <v>476</v>
      </c>
      <c r="D28" s="530" t="s">
        <v>502</v>
      </c>
      <c r="E28" s="389"/>
      <c r="F28" s="389" t="s">
        <v>8</v>
      </c>
      <c r="G28" s="389" t="s">
        <v>255</v>
      </c>
      <c r="H28" s="379">
        <v>2</v>
      </c>
      <c r="I28" s="379">
        <v>5</v>
      </c>
      <c r="J28" s="379">
        <f t="shared" si="0"/>
        <v>2</v>
      </c>
      <c r="K28" s="379">
        <f t="shared" si="1"/>
        <v>10</v>
      </c>
      <c r="L28" s="643">
        <f>IFERROR(IF(B28="funkcna poziadavka",VLOOKUP(G28,MODULY_CBA!$B$3:$E$23,4,0)*H28/SUMIFS($H$3:$H$199,$G$3:$G$199,G28,$B$3:$B$199,B28),),)</f>
        <v>0.21323529411764705</v>
      </c>
      <c r="M28" s="379">
        <f>IFERROR(IF(B28="Funkcna poziadavka",VLOOKUP(G28,MODULY_CBA!$B$3:$E$23,3,0),),)</f>
        <v>0.93499999999999994</v>
      </c>
      <c r="N28" s="379">
        <f>IFERROR(IF(B28="funkcna poziadavka",VLOOKUP(G28,MODULY_CBA!$B$3:$E$23,2,0),),)</f>
        <v>1.18</v>
      </c>
      <c r="O28" s="378">
        <f t="shared" si="3"/>
        <v>11.268262499999999</v>
      </c>
      <c r="P28" s="377">
        <f>IFERROR(O28*VLOOKUP(G28,MODULY_CBA!$B$3:$F$23,5,0),)</f>
        <v>338.04787499999998</v>
      </c>
      <c r="Q28" s="478" t="str">
        <f>IFERROR(VLOOKUP(G28,MODULY_CBA!$B$3:$I$23,6,0),"")</f>
        <v>Inkrement 2</v>
      </c>
      <c r="R28" s="382" t="s">
        <v>119</v>
      </c>
      <c r="S28" s="382" t="s">
        <v>119</v>
      </c>
      <c r="T28" s="382" t="s">
        <v>119</v>
      </c>
      <c r="U28" s="382" t="s">
        <v>119</v>
      </c>
      <c r="V28" s="382" t="s">
        <v>119</v>
      </c>
      <c r="W28" s="382" t="s">
        <v>119</v>
      </c>
      <c r="X28" s="382" t="s">
        <v>119</v>
      </c>
      <c r="Y28" s="382" t="s">
        <v>119</v>
      </c>
      <c r="Z28" s="382" t="s">
        <v>119</v>
      </c>
      <c r="AA28" s="382" t="s">
        <v>119</v>
      </c>
      <c r="AB28" s="382" t="s">
        <v>119</v>
      </c>
      <c r="AC28" s="382" t="s">
        <v>119</v>
      </c>
      <c r="AD28" s="382" t="s">
        <v>119</v>
      </c>
      <c r="AE28" s="382" t="s">
        <v>119</v>
      </c>
      <c r="AF28" s="391"/>
      <c r="AG28" s="385"/>
    </row>
    <row r="29" spans="1:33" ht="25.5">
      <c r="A29" s="401">
        <v>27</v>
      </c>
      <c r="B29" s="401" t="s">
        <v>475</v>
      </c>
      <c r="C29" s="530" t="s">
        <v>476</v>
      </c>
      <c r="D29" s="530" t="s">
        <v>503</v>
      </c>
      <c r="E29" s="389"/>
      <c r="F29" s="389" t="s">
        <v>8</v>
      </c>
      <c r="G29" s="389" t="s">
        <v>255</v>
      </c>
      <c r="H29" s="379">
        <v>2</v>
      </c>
      <c r="I29" s="379">
        <v>5</v>
      </c>
      <c r="J29" s="379">
        <f t="shared" si="0"/>
        <v>2</v>
      </c>
      <c r="K29" s="379">
        <f t="shared" si="1"/>
        <v>10</v>
      </c>
      <c r="L29" s="643">
        <f>IFERROR(IF(B29="funkcna poziadavka",VLOOKUP(G29,MODULY_CBA!$B$3:$E$23,4,0)*H29/SUMIFS($H$3:$H$199,$G$3:$G$199,G29,$B$3:$B$199,B29),),)</f>
        <v>0.21323529411764705</v>
      </c>
      <c r="M29" s="379">
        <f>IFERROR(IF(B29="Funkcna poziadavka",VLOOKUP(G29,MODULY_CBA!$B$3:$E$23,3,0),),)</f>
        <v>0.93499999999999994</v>
      </c>
      <c r="N29" s="379">
        <f>IFERROR(IF(B29="funkcna poziadavka",VLOOKUP(G29,MODULY_CBA!$B$3:$E$23,2,0),),)</f>
        <v>1.18</v>
      </c>
      <c r="O29" s="378">
        <f t="shared" si="3"/>
        <v>11.268262499999999</v>
      </c>
      <c r="P29" s="377">
        <f>IFERROR(O29*VLOOKUP(G29,MODULY_CBA!$B$3:$F$23,5,0),)</f>
        <v>338.04787499999998</v>
      </c>
      <c r="Q29" s="478" t="str">
        <f>IFERROR(VLOOKUP(G29,MODULY_CBA!$B$3:$I$23,6,0),"")</f>
        <v>Inkrement 2</v>
      </c>
      <c r="R29" s="375"/>
      <c r="S29" s="375"/>
      <c r="T29" s="375"/>
      <c r="U29" s="375"/>
      <c r="V29" s="375"/>
      <c r="W29" s="375"/>
      <c r="X29" s="375"/>
      <c r="Y29" s="375"/>
      <c r="Z29" s="375"/>
      <c r="AA29" s="375"/>
      <c r="AB29" s="375"/>
      <c r="AC29" s="375"/>
      <c r="AD29" s="375"/>
      <c r="AE29" s="375"/>
      <c r="AF29" s="391"/>
      <c r="AG29" s="385"/>
    </row>
    <row r="30" spans="1:33" ht="25.5">
      <c r="A30" s="401">
        <v>28</v>
      </c>
      <c r="B30" s="401" t="s">
        <v>475</v>
      </c>
      <c r="C30" s="530" t="s">
        <v>476</v>
      </c>
      <c r="D30" s="530" t="s">
        <v>504</v>
      </c>
      <c r="E30" s="389"/>
      <c r="F30" s="389" t="s">
        <v>8</v>
      </c>
      <c r="G30" s="389" t="s">
        <v>255</v>
      </c>
      <c r="H30" s="379">
        <v>2</v>
      </c>
      <c r="I30" s="379">
        <v>5</v>
      </c>
      <c r="J30" s="379">
        <f t="shared" si="0"/>
        <v>2</v>
      </c>
      <c r="K30" s="379">
        <f t="shared" si="1"/>
        <v>10</v>
      </c>
      <c r="L30" s="643">
        <f>IFERROR(IF(B30="funkcna poziadavka",VLOOKUP(G30,MODULY_CBA!$B$3:$E$23,4,0)*H30/SUMIFS($H$3:$H$199,$G$3:$G$199,G30,$B$3:$B$199,B30),),)</f>
        <v>0.21323529411764705</v>
      </c>
      <c r="M30" s="379">
        <f>IFERROR(IF(B30="Funkcna poziadavka",VLOOKUP(G30,MODULY_CBA!$B$3:$E$23,3,0),),)</f>
        <v>0.93499999999999994</v>
      </c>
      <c r="N30" s="379">
        <f>IFERROR(IF(B30="funkcna poziadavka",VLOOKUP(G30,MODULY_CBA!$B$3:$E$23,2,0),),)</f>
        <v>1.18</v>
      </c>
      <c r="O30" s="378">
        <f t="shared" si="3"/>
        <v>11.268262499999999</v>
      </c>
      <c r="P30" s="377">
        <f>IFERROR(O30*VLOOKUP(G30,MODULY_CBA!$B$3:$F$23,5,0),)</f>
        <v>338.04787499999998</v>
      </c>
      <c r="Q30" s="478" t="str">
        <f>IFERROR(VLOOKUP(G30,MODULY_CBA!$B$3:$I$23,6,0),"")</f>
        <v>Inkrement 2</v>
      </c>
      <c r="R30" s="375"/>
      <c r="S30" s="375"/>
      <c r="T30" s="375"/>
      <c r="U30" s="375"/>
      <c r="V30" s="375"/>
      <c r="W30" s="375"/>
      <c r="X30" s="375"/>
      <c r="Y30" s="375"/>
      <c r="Z30" s="375"/>
      <c r="AA30" s="375"/>
      <c r="AB30" s="375"/>
      <c r="AC30" s="375"/>
      <c r="AD30" s="375"/>
      <c r="AE30" s="375"/>
      <c r="AF30" s="391"/>
      <c r="AG30" s="385"/>
    </row>
    <row r="31" spans="1:33" ht="25.5">
      <c r="A31" s="401">
        <v>29</v>
      </c>
      <c r="B31" s="401" t="s">
        <v>475</v>
      </c>
      <c r="C31" s="530" t="s">
        <v>476</v>
      </c>
      <c r="D31" s="530" t="s">
        <v>505</v>
      </c>
      <c r="E31" s="389"/>
      <c r="F31" s="389" t="s">
        <v>8</v>
      </c>
      <c r="G31" s="389" t="s">
        <v>255</v>
      </c>
      <c r="H31" s="379">
        <v>2</v>
      </c>
      <c r="I31" s="379">
        <v>5</v>
      </c>
      <c r="J31" s="379">
        <f t="shared" si="0"/>
        <v>2</v>
      </c>
      <c r="K31" s="379">
        <f t="shared" si="1"/>
        <v>10</v>
      </c>
      <c r="L31" s="643">
        <f>IFERROR(IF(B31="funkcna poziadavka",VLOOKUP(G31,MODULY_CBA!$B$3:$E$23,4,0)*H31/SUMIFS($H$3:$H$199,$G$3:$G$199,G31,$B$3:$B$199,B31),),)</f>
        <v>0.21323529411764705</v>
      </c>
      <c r="M31" s="379">
        <f>IFERROR(IF(B31="Funkcna poziadavka",VLOOKUP(G31,MODULY_CBA!$B$3:$E$23,3,0),),)</f>
        <v>0.93499999999999994</v>
      </c>
      <c r="N31" s="379">
        <f>IFERROR(IF(B31="funkcna poziadavka",VLOOKUP(G31,MODULY_CBA!$B$3:$E$23,2,0),),)</f>
        <v>1.18</v>
      </c>
      <c r="O31" s="378">
        <f t="shared" si="3"/>
        <v>11.268262499999999</v>
      </c>
      <c r="P31" s="377">
        <f>IFERROR(O31*VLOOKUP(G31,MODULY_CBA!$B$3:$F$23,5,0),)</f>
        <v>338.04787499999998</v>
      </c>
      <c r="Q31" s="478" t="str">
        <f>IFERROR(VLOOKUP(G31,MODULY_CBA!$B$3:$I$23,6,0),"")</f>
        <v>Inkrement 2</v>
      </c>
      <c r="R31" s="375"/>
      <c r="S31" s="375"/>
      <c r="T31" s="375"/>
      <c r="U31" s="375"/>
      <c r="V31" s="375"/>
      <c r="W31" s="375"/>
      <c r="X31" s="375"/>
      <c r="Y31" s="375"/>
      <c r="Z31" s="375"/>
      <c r="AA31" s="375"/>
      <c r="AB31" s="375"/>
      <c r="AC31" s="375"/>
      <c r="AD31" s="375"/>
      <c r="AE31" s="375"/>
      <c r="AF31" s="391"/>
      <c r="AG31" s="385"/>
    </row>
    <row r="32" spans="1:33" ht="25.5">
      <c r="A32" s="401">
        <v>30</v>
      </c>
      <c r="B32" s="401" t="s">
        <v>475</v>
      </c>
      <c r="C32" s="530" t="s">
        <v>476</v>
      </c>
      <c r="D32" s="530" t="s">
        <v>506</v>
      </c>
      <c r="E32" s="389"/>
      <c r="F32" s="389" t="s">
        <v>8</v>
      </c>
      <c r="G32" s="389" t="s">
        <v>255</v>
      </c>
      <c r="H32" s="379">
        <v>2</v>
      </c>
      <c r="I32" s="379">
        <v>5</v>
      </c>
      <c r="J32" s="379">
        <f t="shared" si="0"/>
        <v>2</v>
      </c>
      <c r="K32" s="379">
        <f t="shared" si="1"/>
        <v>10</v>
      </c>
      <c r="L32" s="643">
        <f>IFERROR(IF(B32="funkcna poziadavka",VLOOKUP(G32,MODULY_CBA!$B$3:$E$23,4,0)*H32/SUMIFS($H$3:$H$199,$G$3:$G$199,G32,$B$3:$B$199,B32),),)</f>
        <v>0.21323529411764705</v>
      </c>
      <c r="M32" s="379">
        <f>IFERROR(IF(B32="Funkcna poziadavka",VLOOKUP(G32,MODULY_CBA!$B$3:$E$23,3,0),),)</f>
        <v>0.93499999999999994</v>
      </c>
      <c r="N32" s="379">
        <f>IFERROR(IF(B32="funkcna poziadavka",VLOOKUP(G32,MODULY_CBA!$B$3:$E$23,2,0),),)</f>
        <v>1.18</v>
      </c>
      <c r="O32" s="378">
        <f t="shared" si="3"/>
        <v>11.268262499999999</v>
      </c>
      <c r="P32" s="377">
        <f>IFERROR(O32*VLOOKUP(G32,MODULY_CBA!$B$3:$F$23,5,0),)</f>
        <v>338.04787499999998</v>
      </c>
      <c r="Q32" s="478" t="str">
        <f>IFERROR(VLOOKUP(G32,MODULY_CBA!$B$3:$I$23,6,0),"")</f>
        <v>Inkrement 2</v>
      </c>
      <c r="R32" s="375"/>
      <c r="S32" s="375"/>
      <c r="T32" s="375"/>
      <c r="U32" s="375"/>
      <c r="V32" s="375"/>
      <c r="W32" s="375"/>
      <c r="X32" s="375"/>
      <c r="Y32" s="375"/>
      <c r="Z32" s="375"/>
      <c r="AA32" s="375"/>
      <c r="AB32" s="375"/>
      <c r="AC32" s="375"/>
      <c r="AD32" s="375"/>
      <c r="AE32" s="375"/>
      <c r="AF32" s="391"/>
      <c r="AG32" s="385"/>
    </row>
    <row r="33" spans="1:33" ht="25.5">
      <c r="A33" s="401">
        <v>31</v>
      </c>
      <c r="B33" s="401" t="s">
        <v>475</v>
      </c>
      <c r="C33" s="530" t="s">
        <v>476</v>
      </c>
      <c r="D33" s="530" t="s">
        <v>507</v>
      </c>
      <c r="E33" s="530"/>
      <c r="F33" s="389" t="s">
        <v>8</v>
      </c>
      <c r="G33" s="389" t="s">
        <v>255</v>
      </c>
      <c r="H33" s="379">
        <v>2</v>
      </c>
      <c r="I33" s="379">
        <v>5</v>
      </c>
      <c r="J33" s="379">
        <f t="shared" si="0"/>
        <v>2</v>
      </c>
      <c r="K33" s="379">
        <f t="shared" si="1"/>
        <v>10</v>
      </c>
      <c r="L33" s="643">
        <f>IFERROR(IF(B33="funkcna poziadavka",VLOOKUP(G33,MODULY_CBA!$B$3:$E$23,4,0)*H33/SUMIFS($H$3:$H$199,$G$3:$G$199,G33,$B$3:$B$199,B33),),)</f>
        <v>0.21323529411764705</v>
      </c>
      <c r="M33" s="379">
        <f>IFERROR(IF(B33="Funkcna poziadavka",VLOOKUP(G33,MODULY_CBA!$B$3:$E$23,3,0),),)</f>
        <v>0.93499999999999994</v>
      </c>
      <c r="N33" s="379">
        <f>IFERROR(IF(B33="funkcna poziadavka",VLOOKUP(G33,MODULY_CBA!$B$3:$E$23,2,0),),)</f>
        <v>1.18</v>
      </c>
      <c r="O33" s="378">
        <f t="shared" si="3"/>
        <v>11.268262499999999</v>
      </c>
      <c r="P33" s="377">
        <f>IFERROR(O33*VLOOKUP(G33,MODULY_CBA!$B$3:$F$23,5,0),)</f>
        <v>338.04787499999998</v>
      </c>
      <c r="Q33" s="478" t="str">
        <f>IFERROR(VLOOKUP(G33,MODULY_CBA!$B$3:$I$23,6,0),"")</f>
        <v>Inkrement 2</v>
      </c>
      <c r="R33" s="375"/>
      <c r="S33" s="375"/>
      <c r="T33" s="375"/>
      <c r="U33" s="375"/>
      <c r="V33" s="375"/>
      <c r="W33" s="375"/>
      <c r="X33" s="375"/>
      <c r="Y33" s="375"/>
      <c r="Z33" s="375"/>
      <c r="AA33" s="375"/>
      <c r="AB33" s="375"/>
      <c r="AC33" s="375"/>
      <c r="AD33" s="375"/>
      <c r="AE33" s="375"/>
      <c r="AF33" s="391"/>
      <c r="AG33" s="385"/>
    </row>
    <row r="34" spans="1:33" ht="25.5">
      <c r="A34" s="401">
        <v>32</v>
      </c>
      <c r="B34" s="401" t="s">
        <v>475</v>
      </c>
      <c r="C34" s="530" t="s">
        <v>476</v>
      </c>
      <c r="D34" s="530" t="s">
        <v>508</v>
      </c>
      <c r="E34" s="530"/>
      <c r="F34" s="389" t="s">
        <v>8</v>
      </c>
      <c r="G34" s="389" t="s">
        <v>255</v>
      </c>
      <c r="H34" s="379">
        <v>2</v>
      </c>
      <c r="I34" s="379">
        <v>5</v>
      </c>
      <c r="J34" s="379">
        <f t="shared" si="0"/>
        <v>2</v>
      </c>
      <c r="K34" s="379">
        <f t="shared" si="1"/>
        <v>10</v>
      </c>
      <c r="L34" s="643">
        <f>IFERROR(IF(B34="funkcna poziadavka",VLOOKUP(G34,MODULY_CBA!$B$3:$E$23,4,0)*H34/SUMIFS($H$3:$H$199,$G$3:$G$199,G34,$B$3:$B$199,B34),),)</f>
        <v>0.21323529411764705</v>
      </c>
      <c r="M34" s="379">
        <f>IFERROR(IF(B34="Funkcna poziadavka",VLOOKUP(G34,MODULY_CBA!$B$3:$E$23,3,0),),)</f>
        <v>0.93499999999999994</v>
      </c>
      <c r="N34" s="379">
        <f>IFERROR(IF(B34="funkcna poziadavka",VLOOKUP(G34,MODULY_CBA!$B$3:$E$23,2,0),),)</f>
        <v>1.18</v>
      </c>
      <c r="O34" s="378">
        <f t="shared" si="3"/>
        <v>11.268262499999999</v>
      </c>
      <c r="P34" s="377">
        <f>IFERROR(O34*VLOOKUP(G34,MODULY_CBA!$B$3:$F$23,5,0),)</f>
        <v>338.04787499999998</v>
      </c>
      <c r="Q34" s="478" t="str">
        <f>IFERROR(VLOOKUP(G34,MODULY_CBA!$B$3:$I$23,6,0),"")</f>
        <v>Inkrement 2</v>
      </c>
      <c r="R34" s="382"/>
      <c r="S34" s="382"/>
      <c r="T34" s="382"/>
      <c r="U34" s="382"/>
      <c r="V34" s="382"/>
      <c r="W34" s="382"/>
      <c r="X34" s="382"/>
      <c r="Y34" s="382"/>
      <c r="Z34" s="382"/>
      <c r="AA34" s="382"/>
      <c r="AB34" s="382"/>
      <c r="AC34" s="382"/>
      <c r="AD34" s="382"/>
      <c r="AE34" s="382"/>
    </row>
    <row r="35" spans="1:33" ht="25.5">
      <c r="A35" s="401">
        <v>33</v>
      </c>
      <c r="B35" s="401" t="s">
        <v>475</v>
      </c>
      <c r="C35" s="530" t="s">
        <v>476</v>
      </c>
      <c r="D35" s="530" t="s">
        <v>509</v>
      </c>
      <c r="E35" s="530"/>
      <c r="F35" s="389" t="s">
        <v>8</v>
      </c>
      <c r="G35" s="389" t="s">
        <v>255</v>
      </c>
      <c r="H35" s="379">
        <v>2</v>
      </c>
      <c r="I35" s="379">
        <v>5</v>
      </c>
      <c r="J35" s="379">
        <f t="shared" si="0"/>
        <v>2</v>
      </c>
      <c r="K35" s="379">
        <f t="shared" si="1"/>
        <v>10</v>
      </c>
      <c r="L35" s="643">
        <f>IFERROR(IF(B35="funkcna poziadavka",VLOOKUP(G35,MODULY_CBA!$B$3:$E$23,4,0)*H35/SUMIFS($H$3:$H$199,$G$3:$G$199,G35,$B$3:$B$199,B35),),)</f>
        <v>0.21323529411764705</v>
      </c>
      <c r="M35" s="379">
        <f>IFERROR(IF(B35="Funkcna poziadavka",VLOOKUP(G35,MODULY_CBA!$B$3:$E$23,3,0),),)</f>
        <v>0.93499999999999994</v>
      </c>
      <c r="N35" s="379">
        <f>IFERROR(IF(B35="funkcna poziadavka",VLOOKUP(G35,MODULY_CBA!$B$3:$E$23,2,0),),)</f>
        <v>1.18</v>
      </c>
      <c r="O35" s="378">
        <f t="shared" ref="O35:O66" si="4">(K35+L35)*M35*N35</f>
        <v>11.268262499999999</v>
      </c>
      <c r="P35" s="377">
        <f>IFERROR(O35*VLOOKUP(G35,MODULY_CBA!$B$3:$F$23,5,0),)</f>
        <v>338.04787499999998</v>
      </c>
      <c r="Q35" s="478" t="str">
        <f>IFERROR(VLOOKUP(G35,MODULY_CBA!$B$3:$I$23,6,0),"")</f>
        <v>Inkrement 2</v>
      </c>
      <c r="R35" s="382"/>
      <c r="S35" s="382"/>
      <c r="T35" s="382"/>
      <c r="U35" s="382"/>
      <c r="V35" s="382"/>
      <c r="W35" s="382"/>
      <c r="X35" s="382"/>
      <c r="Y35" s="382"/>
      <c r="Z35" s="382"/>
      <c r="AA35" s="382"/>
      <c r="AB35" s="382"/>
      <c r="AC35" s="382"/>
      <c r="AD35" s="382"/>
      <c r="AE35" s="382"/>
    </row>
    <row r="36" spans="1:33" ht="25.5">
      <c r="A36" s="401">
        <v>34</v>
      </c>
      <c r="B36" s="401" t="s">
        <v>475</v>
      </c>
      <c r="C36" s="530" t="s">
        <v>476</v>
      </c>
      <c r="D36" s="530" t="s">
        <v>510</v>
      </c>
      <c r="E36" s="530"/>
      <c r="F36" s="389" t="s">
        <v>8</v>
      </c>
      <c r="G36" s="389" t="s">
        <v>255</v>
      </c>
      <c r="H36" s="379">
        <v>2</v>
      </c>
      <c r="I36" s="379">
        <v>5</v>
      </c>
      <c r="J36" s="379">
        <f t="shared" si="0"/>
        <v>2</v>
      </c>
      <c r="K36" s="379">
        <f t="shared" si="1"/>
        <v>10</v>
      </c>
      <c r="L36" s="643">
        <f>IFERROR(IF(B36="funkcna poziadavka",VLOOKUP(G36,MODULY_CBA!$B$3:$E$23,4,0)*H36/SUMIFS($H$3:$H$199,$G$3:$G$199,G36,$B$3:$B$199,B36),),)</f>
        <v>0.21323529411764705</v>
      </c>
      <c r="M36" s="379">
        <f>IFERROR(IF(B36="Funkcna poziadavka",VLOOKUP(G36,MODULY_CBA!$B$3:$E$23,3,0),),)</f>
        <v>0.93499999999999994</v>
      </c>
      <c r="N36" s="379">
        <f>IFERROR(IF(B36="funkcna poziadavka",VLOOKUP(G36,MODULY_CBA!$B$3:$E$23,2,0),),)</f>
        <v>1.18</v>
      </c>
      <c r="O36" s="378">
        <f t="shared" si="4"/>
        <v>11.268262499999999</v>
      </c>
      <c r="P36" s="377">
        <f>IFERROR(O36*VLOOKUP(G36,MODULY_CBA!$B$3:$F$23,5,0),)</f>
        <v>338.04787499999998</v>
      </c>
      <c r="Q36" s="478" t="str">
        <f>IFERROR(VLOOKUP(G36,MODULY_CBA!$B$3:$I$23,6,0),"")</f>
        <v>Inkrement 2</v>
      </c>
      <c r="R36" s="382"/>
      <c r="S36" s="382"/>
      <c r="T36" s="382"/>
      <c r="U36" s="382"/>
      <c r="V36" s="382"/>
      <c r="W36" s="382"/>
      <c r="X36" s="382"/>
      <c r="Y36" s="382"/>
      <c r="Z36" s="382"/>
      <c r="AA36" s="382"/>
      <c r="AB36" s="382"/>
      <c r="AC36" s="382"/>
      <c r="AD36" s="382"/>
      <c r="AE36" s="382"/>
    </row>
    <row r="37" spans="1:33" ht="25.5">
      <c r="A37" s="401">
        <v>35</v>
      </c>
      <c r="B37" s="401" t="s">
        <v>475</v>
      </c>
      <c r="C37" s="530" t="s">
        <v>476</v>
      </c>
      <c r="D37" s="530" t="s">
        <v>511</v>
      </c>
      <c r="E37" s="530"/>
      <c r="F37" s="389" t="s">
        <v>8</v>
      </c>
      <c r="G37" s="389" t="s">
        <v>255</v>
      </c>
      <c r="H37" s="379">
        <v>2</v>
      </c>
      <c r="I37" s="379">
        <v>5</v>
      </c>
      <c r="J37" s="379">
        <f t="shared" si="0"/>
        <v>2</v>
      </c>
      <c r="K37" s="379">
        <f t="shared" si="1"/>
        <v>10</v>
      </c>
      <c r="L37" s="643">
        <f>IFERROR(IF(B37="funkcna poziadavka",VLOOKUP(G37,MODULY_CBA!$B$3:$E$23,4,0)*H37/SUMIFS($H$3:$H$199,$G$3:$G$199,G37,$B$3:$B$199,B37),),)</f>
        <v>0.21323529411764705</v>
      </c>
      <c r="M37" s="379">
        <f>IFERROR(IF(B37="Funkcna poziadavka",VLOOKUP(G37,MODULY_CBA!$B$3:$E$23,3,0),),)</f>
        <v>0.93499999999999994</v>
      </c>
      <c r="N37" s="379">
        <f>IFERROR(IF(B37="funkcna poziadavka",VLOOKUP(G37,MODULY_CBA!$B$3:$E$23,2,0),),)</f>
        <v>1.18</v>
      </c>
      <c r="O37" s="378">
        <f t="shared" si="4"/>
        <v>11.268262499999999</v>
      </c>
      <c r="P37" s="377">
        <f>IFERROR(O37*VLOOKUP(G37,MODULY_CBA!$B$3:$F$23,5,0),)</f>
        <v>338.04787499999998</v>
      </c>
      <c r="Q37" s="478" t="str">
        <f>IFERROR(VLOOKUP(G37,MODULY_CBA!$B$3:$I$23,6,0),"")</f>
        <v>Inkrement 2</v>
      </c>
      <c r="R37" s="382"/>
      <c r="S37" s="382"/>
      <c r="T37" s="382"/>
      <c r="U37" s="382"/>
      <c r="V37" s="382"/>
      <c r="W37" s="382"/>
      <c r="X37" s="382"/>
      <c r="Y37" s="382"/>
      <c r="Z37" s="382"/>
      <c r="AA37" s="382"/>
      <c r="AB37" s="382"/>
      <c r="AC37" s="382"/>
      <c r="AD37" s="382"/>
      <c r="AE37" s="382"/>
    </row>
    <row r="38" spans="1:33" ht="25.5">
      <c r="A38" s="401">
        <v>36</v>
      </c>
      <c r="B38" s="401" t="s">
        <v>475</v>
      </c>
      <c r="C38" s="530" t="s">
        <v>476</v>
      </c>
      <c r="D38" s="530" t="s">
        <v>512</v>
      </c>
      <c r="E38" s="530"/>
      <c r="F38" s="389" t="s">
        <v>8</v>
      </c>
      <c r="G38" s="389" t="s">
        <v>255</v>
      </c>
      <c r="H38" s="379">
        <v>2</v>
      </c>
      <c r="I38" s="379">
        <v>5</v>
      </c>
      <c r="J38" s="379">
        <f t="shared" si="0"/>
        <v>2</v>
      </c>
      <c r="K38" s="379">
        <f t="shared" si="1"/>
        <v>10</v>
      </c>
      <c r="L38" s="643">
        <f>IFERROR(IF(B38="funkcna poziadavka",VLOOKUP(G38,MODULY_CBA!$B$3:$E$23,4,0)*H38/SUMIFS($H$3:$H$199,$G$3:$G$199,G38,$B$3:$B$199,B38),),)</f>
        <v>0.21323529411764705</v>
      </c>
      <c r="M38" s="379">
        <f>IFERROR(IF(B38="Funkcna poziadavka",VLOOKUP(G38,MODULY_CBA!$B$3:$E$23,3,0),),)</f>
        <v>0.93499999999999994</v>
      </c>
      <c r="N38" s="379">
        <f>IFERROR(IF(B38="funkcna poziadavka",VLOOKUP(G38,MODULY_CBA!$B$3:$E$23,2,0),),)</f>
        <v>1.18</v>
      </c>
      <c r="O38" s="378">
        <f t="shared" si="4"/>
        <v>11.268262499999999</v>
      </c>
      <c r="P38" s="377">
        <f>IFERROR(O38*VLOOKUP(G38,MODULY_CBA!$B$3:$F$23,5,0),)</f>
        <v>338.04787499999998</v>
      </c>
      <c r="Q38" s="478" t="str">
        <f>IFERROR(VLOOKUP(G38,MODULY_CBA!$B$3:$I$23,6,0),"")</f>
        <v>Inkrement 2</v>
      </c>
      <c r="R38" s="382"/>
      <c r="S38" s="382"/>
      <c r="T38" s="382"/>
      <c r="U38" s="382"/>
      <c r="V38" s="382"/>
      <c r="W38" s="382"/>
      <c r="X38" s="382"/>
      <c r="Y38" s="382"/>
      <c r="Z38" s="382"/>
      <c r="AA38" s="382"/>
      <c r="AB38" s="382"/>
      <c r="AC38" s="382"/>
      <c r="AD38" s="382"/>
      <c r="AE38" s="382"/>
    </row>
    <row r="39" spans="1:33" ht="25.5">
      <c r="A39" s="401">
        <v>37</v>
      </c>
      <c r="B39" s="401" t="s">
        <v>475</v>
      </c>
      <c r="C39" s="530" t="s">
        <v>476</v>
      </c>
      <c r="D39" s="530" t="s">
        <v>513</v>
      </c>
      <c r="E39" s="530"/>
      <c r="F39" s="389" t="s">
        <v>8</v>
      </c>
      <c r="G39" s="389" t="s">
        <v>255</v>
      </c>
      <c r="H39" s="379">
        <v>2</v>
      </c>
      <c r="I39" s="379">
        <v>5</v>
      </c>
      <c r="J39" s="379">
        <f t="shared" si="0"/>
        <v>2</v>
      </c>
      <c r="K39" s="379">
        <f t="shared" si="1"/>
        <v>10</v>
      </c>
      <c r="L39" s="643">
        <f>IFERROR(IF(B39="funkcna poziadavka",VLOOKUP(G39,MODULY_CBA!$B$3:$E$23,4,0)*H39/SUMIFS($H$3:$H$199,$G$3:$G$199,G39,$B$3:$B$199,B39),),)</f>
        <v>0.21323529411764705</v>
      </c>
      <c r="M39" s="379">
        <f>IFERROR(IF(B39="Funkcna poziadavka",VLOOKUP(G39,MODULY_CBA!$B$3:$E$23,3,0),),)</f>
        <v>0.93499999999999994</v>
      </c>
      <c r="N39" s="379">
        <f>IFERROR(IF(B39="funkcna poziadavka",VLOOKUP(G39,MODULY_CBA!$B$3:$E$23,2,0),),)</f>
        <v>1.18</v>
      </c>
      <c r="O39" s="378">
        <f t="shared" si="4"/>
        <v>11.268262499999999</v>
      </c>
      <c r="P39" s="377">
        <f>IFERROR(O39*VLOOKUP(G39,MODULY_CBA!$B$3:$F$23,5,0),)</f>
        <v>338.04787499999998</v>
      </c>
      <c r="Q39" s="478" t="str">
        <f>IFERROR(VLOOKUP(G39,MODULY_CBA!$B$3:$I$23,6,0),"")</f>
        <v>Inkrement 2</v>
      </c>
      <c r="R39" s="382"/>
      <c r="S39" s="382"/>
      <c r="T39" s="382"/>
      <c r="U39" s="382"/>
      <c r="V39" s="382"/>
      <c r="W39" s="382"/>
      <c r="X39" s="382"/>
      <c r="Y39" s="382"/>
      <c r="Z39" s="382"/>
      <c r="AA39" s="382"/>
      <c r="AB39" s="382"/>
      <c r="AC39" s="382"/>
      <c r="AD39" s="382"/>
      <c r="AE39" s="382"/>
    </row>
    <row r="40" spans="1:33" ht="38.25">
      <c r="A40" s="401">
        <v>38</v>
      </c>
      <c r="B40" s="401" t="s">
        <v>475</v>
      </c>
      <c r="C40" s="530" t="s">
        <v>476</v>
      </c>
      <c r="D40" s="530" t="s">
        <v>514</v>
      </c>
      <c r="E40" s="530"/>
      <c r="F40" s="389" t="s">
        <v>8</v>
      </c>
      <c r="G40" s="389" t="s">
        <v>255</v>
      </c>
      <c r="H40" s="379">
        <v>2</v>
      </c>
      <c r="I40" s="379">
        <v>5</v>
      </c>
      <c r="J40" s="379">
        <f t="shared" si="0"/>
        <v>2</v>
      </c>
      <c r="K40" s="379">
        <f t="shared" si="1"/>
        <v>10</v>
      </c>
      <c r="L40" s="643">
        <f>IFERROR(IF(B40="funkcna poziadavka",VLOOKUP(G40,MODULY_CBA!$B$3:$E$23,4,0)*H40/SUMIFS($H$3:$H$199,$G$3:$G$199,G40,$B$3:$B$199,B40),),)</f>
        <v>0.21323529411764705</v>
      </c>
      <c r="M40" s="379">
        <f>IFERROR(IF(B40="Funkcna poziadavka",VLOOKUP(G40,MODULY_CBA!$B$3:$E$23,3,0),),)</f>
        <v>0.93499999999999994</v>
      </c>
      <c r="N40" s="379">
        <f>IFERROR(IF(B40="funkcna poziadavka",VLOOKUP(G40,MODULY_CBA!$B$3:$E$23,2,0),),)</f>
        <v>1.18</v>
      </c>
      <c r="O40" s="378">
        <f t="shared" si="4"/>
        <v>11.268262499999999</v>
      </c>
      <c r="P40" s="377">
        <f>IFERROR(O40*VLOOKUP(G40,MODULY_CBA!$B$3:$F$23,5,0),)</f>
        <v>338.04787499999998</v>
      </c>
      <c r="Q40" s="478" t="str">
        <f>IFERROR(VLOOKUP(G40,MODULY_CBA!$B$3:$I$23,6,0),"")</f>
        <v>Inkrement 2</v>
      </c>
      <c r="R40" s="382"/>
      <c r="S40" s="382"/>
      <c r="T40" s="382"/>
      <c r="U40" s="382"/>
      <c r="V40" s="382"/>
      <c r="W40" s="382"/>
      <c r="X40" s="382"/>
      <c r="Y40" s="382"/>
      <c r="Z40" s="382"/>
      <c r="AA40" s="382"/>
      <c r="AB40" s="382"/>
      <c r="AC40" s="382"/>
      <c r="AD40" s="382"/>
      <c r="AE40" s="382"/>
    </row>
    <row r="41" spans="1:33" ht="25.5">
      <c r="A41" s="401">
        <v>39</v>
      </c>
      <c r="B41" s="401" t="s">
        <v>475</v>
      </c>
      <c r="C41" s="530" t="s">
        <v>476</v>
      </c>
      <c r="D41" s="530" t="s">
        <v>515</v>
      </c>
      <c r="E41" s="530"/>
      <c r="F41" s="389" t="s">
        <v>8</v>
      </c>
      <c r="G41" s="389" t="s">
        <v>255</v>
      </c>
      <c r="H41" s="379">
        <v>2</v>
      </c>
      <c r="I41" s="379">
        <v>5</v>
      </c>
      <c r="J41" s="379">
        <f t="shared" si="0"/>
        <v>2</v>
      </c>
      <c r="K41" s="379">
        <f t="shared" si="1"/>
        <v>10</v>
      </c>
      <c r="L41" s="643">
        <f>IFERROR(IF(B41="funkcna poziadavka",VLOOKUP(G41,MODULY_CBA!$B$3:$E$23,4,0)*H41/SUMIFS($H$3:$H$199,$G$3:$G$199,G41,$B$3:$B$199,B41),),)</f>
        <v>0.21323529411764705</v>
      </c>
      <c r="M41" s="379">
        <f>IFERROR(IF(B41="Funkcna poziadavka",VLOOKUP(G41,MODULY_CBA!$B$3:$E$23,3,0),),)</f>
        <v>0.93499999999999994</v>
      </c>
      <c r="N41" s="379">
        <f>IFERROR(IF(B41="funkcna poziadavka",VLOOKUP(G41,MODULY_CBA!$B$3:$E$23,2,0),),)</f>
        <v>1.18</v>
      </c>
      <c r="O41" s="378">
        <f t="shared" si="4"/>
        <v>11.268262499999999</v>
      </c>
      <c r="P41" s="377">
        <f>IFERROR(O41*VLOOKUP(G41,MODULY_CBA!$B$3:$F$23,5,0),)</f>
        <v>338.04787499999998</v>
      </c>
      <c r="Q41" s="478" t="str">
        <f>IFERROR(VLOOKUP(G41,MODULY_CBA!$B$3:$I$23,6,0),"")</f>
        <v>Inkrement 2</v>
      </c>
      <c r="R41" s="382"/>
      <c r="S41" s="382"/>
      <c r="T41" s="382"/>
      <c r="U41" s="382"/>
      <c r="V41" s="382"/>
      <c r="W41" s="382"/>
      <c r="X41" s="382"/>
      <c r="Y41" s="382"/>
      <c r="Z41" s="382"/>
      <c r="AA41" s="382"/>
      <c r="AB41" s="382"/>
      <c r="AC41" s="382"/>
      <c r="AD41" s="382"/>
      <c r="AE41" s="382"/>
    </row>
    <row r="42" spans="1:33" ht="25.5">
      <c r="A42" s="401">
        <v>40</v>
      </c>
      <c r="B42" s="401" t="s">
        <v>475</v>
      </c>
      <c r="C42" s="530" t="s">
        <v>476</v>
      </c>
      <c r="D42" s="530" t="s">
        <v>516</v>
      </c>
      <c r="E42" s="530"/>
      <c r="F42" s="389" t="s">
        <v>8</v>
      </c>
      <c r="G42" s="389" t="s">
        <v>255</v>
      </c>
      <c r="H42" s="379">
        <v>2</v>
      </c>
      <c r="I42" s="379">
        <v>5</v>
      </c>
      <c r="J42" s="379">
        <f t="shared" si="0"/>
        <v>2</v>
      </c>
      <c r="K42" s="379">
        <f t="shared" si="1"/>
        <v>10</v>
      </c>
      <c r="L42" s="643">
        <f>IFERROR(IF(B42="funkcna poziadavka",VLOOKUP(G42,MODULY_CBA!$B$3:$E$23,4,0)*H42/SUMIFS($H$3:$H$199,$G$3:$G$199,G42,$B$3:$B$199,B42),),)</f>
        <v>0.21323529411764705</v>
      </c>
      <c r="M42" s="379">
        <f>IFERROR(IF(B42="Funkcna poziadavka",VLOOKUP(G42,MODULY_CBA!$B$3:$E$23,3,0),),)</f>
        <v>0.93499999999999994</v>
      </c>
      <c r="N42" s="379">
        <f>IFERROR(IF(B42="funkcna poziadavka",VLOOKUP(G42,MODULY_CBA!$B$3:$E$23,2,0),),)</f>
        <v>1.18</v>
      </c>
      <c r="O42" s="378">
        <f t="shared" si="4"/>
        <v>11.268262499999999</v>
      </c>
      <c r="P42" s="377">
        <f>IFERROR(O42*VLOOKUP(G42,MODULY_CBA!$B$3:$F$23,5,0),)</f>
        <v>338.04787499999998</v>
      </c>
      <c r="Q42" s="478" t="str">
        <f>IFERROR(VLOOKUP(G42,MODULY_CBA!$B$3:$I$23,6,0),"")</f>
        <v>Inkrement 2</v>
      </c>
      <c r="R42" s="382"/>
      <c r="S42" s="382"/>
      <c r="T42" s="382"/>
      <c r="U42" s="382"/>
      <c r="V42" s="382"/>
      <c r="W42" s="382"/>
      <c r="X42" s="382"/>
      <c r="Y42" s="382"/>
      <c r="Z42" s="382"/>
      <c r="AA42" s="382"/>
      <c r="AB42" s="382"/>
      <c r="AC42" s="382"/>
      <c r="AD42" s="382"/>
      <c r="AE42" s="382"/>
    </row>
    <row r="43" spans="1:33" ht="25.5">
      <c r="A43" s="401">
        <v>41</v>
      </c>
      <c r="B43" s="401" t="s">
        <v>475</v>
      </c>
      <c r="C43" s="530" t="s">
        <v>476</v>
      </c>
      <c r="D43" s="530" t="s">
        <v>517</v>
      </c>
      <c r="E43" s="530"/>
      <c r="F43" s="389" t="s">
        <v>8</v>
      </c>
      <c r="G43" s="389" t="s">
        <v>255</v>
      </c>
      <c r="H43" s="379">
        <v>2</v>
      </c>
      <c r="I43" s="379">
        <v>5</v>
      </c>
      <c r="J43" s="379">
        <f t="shared" si="0"/>
        <v>2</v>
      </c>
      <c r="K43" s="379">
        <f t="shared" si="1"/>
        <v>10</v>
      </c>
      <c r="L43" s="643">
        <f>IFERROR(IF(B43="funkcna poziadavka",VLOOKUP(G43,MODULY_CBA!$B$3:$E$23,4,0)*H43/SUMIFS($H$3:$H$199,$G$3:$G$199,G43,$B$3:$B$199,B43),),)</f>
        <v>0.21323529411764705</v>
      </c>
      <c r="M43" s="379">
        <f>IFERROR(IF(B43="Funkcna poziadavka",VLOOKUP(G43,MODULY_CBA!$B$3:$E$23,3,0),),)</f>
        <v>0.93499999999999994</v>
      </c>
      <c r="N43" s="379">
        <f>IFERROR(IF(B43="funkcna poziadavka",VLOOKUP(G43,MODULY_CBA!$B$3:$E$23,2,0),),)</f>
        <v>1.18</v>
      </c>
      <c r="O43" s="378">
        <f t="shared" si="4"/>
        <v>11.268262499999999</v>
      </c>
      <c r="P43" s="377">
        <f>IFERROR(O43*VLOOKUP(G43,MODULY_CBA!$B$3:$F$23,5,0),)</f>
        <v>338.04787499999998</v>
      </c>
      <c r="Q43" s="478" t="str">
        <f>IFERROR(VLOOKUP(G43,MODULY_CBA!$B$3:$I$23,6,0),"")</f>
        <v>Inkrement 2</v>
      </c>
      <c r="R43" s="382"/>
      <c r="S43" s="382"/>
      <c r="T43" s="382"/>
      <c r="U43" s="382"/>
      <c r="V43" s="382"/>
      <c r="W43" s="382"/>
      <c r="X43" s="382"/>
      <c r="Y43" s="382"/>
      <c r="Z43" s="382"/>
      <c r="AA43" s="382"/>
      <c r="AB43" s="382"/>
      <c r="AC43" s="382"/>
      <c r="AD43" s="382"/>
      <c r="AE43" s="382"/>
    </row>
    <row r="44" spans="1:33" ht="25.5">
      <c r="A44" s="401">
        <v>42</v>
      </c>
      <c r="B44" s="401" t="s">
        <v>475</v>
      </c>
      <c r="C44" s="530" t="s">
        <v>476</v>
      </c>
      <c r="D44" s="530" t="s">
        <v>518</v>
      </c>
      <c r="E44" s="530"/>
      <c r="F44" s="389" t="s">
        <v>8</v>
      </c>
      <c r="G44" s="389" t="s">
        <v>255</v>
      </c>
      <c r="H44" s="379">
        <v>2</v>
      </c>
      <c r="I44" s="379">
        <v>5</v>
      </c>
      <c r="J44" s="379">
        <f t="shared" si="0"/>
        <v>2</v>
      </c>
      <c r="K44" s="379">
        <f t="shared" si="1"/>
        <v>10</v>
      </c>
      <c r="L44" s="643">
        <f>IFERROR(IF(B44="funkcna poziadavka",VLOOKUP(G44,MODULY_CBA!$B$3:$E$23,4,0)*H44/SUMIFS($H$3:$H$199,$G$3:$G$199,G44,$B$3:$B$199,B44),),)</f>
        <v>0.21323529411764705</v>
      </c>
      <c r="M44" s="379">
        <f>IFERROR(IF(B44="Funkcna poziadavka",VLOOKUP(G44,MODULY_CBA!$B$3:$E$23,3,0),),)</f>
        <v>0.93499999999999994</v>
      </c>
      <c r="N44" s="379">
        <f>IFERROR(IF(B44="funkcna poziadavka",VLOOKUP(G44,MODULY_CBA!$B$3:$E$23,2,0),),)</f>
        <v>1.18</v>
      </c>
      <c r="O44" s="378">
        <f t="shared" si="4"/>
        <v>11.268262499999999</v>
      </c>
      <c r="P44" s="377">
        <f>IFERROR(O44*VLOOKUP(G44,MODULY_CBA!$B$3:$F$23,5,0),)</f>
        <v>338.04787499999998</v>
      </c>
      <c r="Q44" s="478" t="str">
        <f>IFERROR(VLOOKUP(G44,MODULY_CBA!$B$3:$I$23,6,0),"")</f>
        <v>Inkrement 2</v>
      </c>
      <c r="R44" s="382" t="s">
        <v>119</v>
      </c>
      <c r="S44" s="382" t="s">
        <v>119</v>
      </c>
      <c r="T44" s="382" t="s">
        <v>119</v>
      </c>
      <c r="U44" s="382" t="s">
        <v>119</v>
      </c>
      <c r="V44" s="382" t="s">
        <v>119</v>
      </c>
      <c r="W44" s="382" t="s">
        <v>119</v>
      </c>
      <c r="X44" s="382" t="s">
        <v>119</v>
      </c>
      <c r="Y44" s="382" t="s">
        <v>119</v>
      </c>
      <c r="Z44" s="382" t="s">
        <v>119</v>
      </c>
      <c r="AA44" s="382" t="s">
        <v>119</v>
      </c>
      <c r="AB44" s="382" t="s">
        <v>119</v>
      </c>
      <c r="AC44" s="382" t="s">
        <v>119</v>
      </c>
      <c r="AD44" s="382" t="s">
        <v>119</v>
      </c>
      <c r="AE44" s="382" t="s">
        <v>119</v>
      </c>
    </row>
    <row r="45" spans="1:33" ht="25.5">
      <c r="A45" s="401">
        <v>43</v>
      </c>
      <c r="B45" s="401" t="s">
        <v>475</v>
      </c>
      <c r="C45" s="530" t="s">
        <v>476</v>
      </c>
      <c r="D45" s="530" t="s">
        <v>519</v>
      </c>
      <c r="E45" s="530"/>
      <c r="F45" s="389" t="s">
        <v>8</v>
      </c>
      <c r="G45" s="389" t="s">
        <v>255</v>
      </c>
      <c r="H45" s="379">
        <v>2</v>
      </c>
      <c r="I45" s="379">
        <v>5</v>
      </c>
      <c r="J45" s="379">
        <f t="shared" si="0"/>
        <v>2</v>
      </c>
      <c r="K45" s="379">
        <f t="shared" si="1"/>
        <v>10</v>
      </c>
      <c r="L45" s="643">
        <f>IFERROR(IF(B45="funkcna poziadavka",VLOOKUP(G45,MODULY_CBA!$B$3:$E$23,4,0)*H45/SUMIFS($H$3:$H$199,$G$3:$G$199,G45,$B$3:$B$199,B45),),)</f>
        <v>0.21323529411764705</v>
      </c>
      <c r="M45" s="379">
        <f>IFERROR(IF(B45="Funkcna poziadavka",VLOOKUP(G45,MODULY_CBA!$B$3:$E$23,3,0),),)</f>
        <v>0.93499999999999994</v>
      </c>
      <c r="N45" s="379">
        <f>IFERROR(IF(B45="funkcna poziadavka",VLOOKUP(G45,MODULY_CBA!$B$3:$E$23,2,0),),)</f>
        <v>1.18</v>
      </c>
      <c r="O45" s="378">
        <f t="shared" si="4"/>
        <v>11.268262499999999</v>
      </c>
      <c r="P45" s="377">
        <f>IFERROR(O45*VLOOKUP(G45,MODULY_CBA!$B$3:$F$23,5,0),)</f>
        <v>338.04787499999998</v>
      </c>
      <c r="Q45" s="478" t="str">
        <f>IFERROR(VLOOKUP(G45,MODULY_CBA!$B$3:$I$23,6,0),"")</f>
        <v>Inkrement 2</v>
      </c>
      <c r="R45" s="382"/>
      <c r="S45" s="382"/>
      <c r="T45" s="382"/>
      <c r="U45" s="382"/>
      <c r="V45" s="382"/>
      <c r="W45" s="382"/>
      <c r="X45" s="382"/>
      <c r="Y45" s="382"/>
      <c r="Z45" s="382"/>
      <c r="AA45" s="382"/>
      <c r="AB45" s="382"/>
      <c r="AC45" s="382"/>
      <c r="AD45" s="382"/>
      <c r="AE45" s="382"/>
    </row>
    <row r="46" spans="1:33" ht="25.5">
      <c r="A46" s="401">
        <v>44</v>
      </c>
      <c r="B46" s="401" t="s">
        <v>475</v>
      </c>
      <c r="C46" s="530" t="s">
        <v>476</v>
      </c>
      <c r="D46" s="530" t="s">
        <v>520</v>
      </c>
      <c r="E46" s="530"/>
      <c r="F46" s="389" t="s">
        <v>8</v>
      </c>
      <c r="G46" s="389" t="s">
        <v>255</v>
      </c>
      <c r="H46" s="379">
        <v>2</v>
      </c>
      <c r="I46" s="379">
        <v>5</v>
      </c>
      <c r="J46" s="379">
        <f t="shared" si="0"/>
        <v>2</v>
      </c>
      <c r="K46" s="379">
        <f t="shared" si="1"/>
        <v>10</v>
      </c>
      <c r="L46" s="643">
        <f>IFERROR(IF(B46="funkcna poziadavka",VLOOKUP(G46,MODULY_CBA!$B$3:$E$23,4,0)*H46/SUMIFS($H$3:$H$199,$G$3:$G$199,G46,$B$3:$B$199,B46),),)</f>
        <v>0.21323529411764705</v>
      </c>
      <c r="M46" s="379">
        <f>IFERROR(IF(B46="Funkcna poziadavka",VLOOKUP(G46,MODULY_CBA!$B$3:$E$23,3,0),),)</f>
        <v>0.93499999999999994</v>
      </c>
      <c r="N46" s="379">
        <f>IFERROR(IF(B46="funkcna poziadavka",VLOOKUP(G46,MODULY_CBA!$B$3:$E$23,2,0),),)</f>
        <v>1.18</v>
      </c>
      <c r="O46" s="378">
        <f t="shared" si="4"/>
        <v>11.268262499999999</v>
      </c>
      <c r="P46" s="377">
        <f>IFERROR(O46*VLOOKUP(G46,MODULY_CBA!$B$3:$F$23,5,0),)</f>
        <v>338.04787499999998</v>
      </c>
      <c r="Q46" s="478" t="str">
        <f>IFERROR(VLOOKUP(G46,MODULY_CBA!$B$3:$I$23,6,0),"")</f>
        <v>Inkrement 2</v>
      </c>
      <c r="R46" s="382" t="s">
        <v>119</v>
      </c>
      <c r="S46" s="382" t="s">
        <v>119</v>
      </c>
      <c r="T46" s="382" t="s">
        <v>119</v>
      </c>
      <c r="U46" s="382" t="s">
        <v>119</v>
      </c>
      <c r="V46" s="382" t="s">
        <v>119</v>
      </c>
      <c r="W46" s="382" t="s">
        <v>119</v>
      </c>
      <c r="X46" s="382" t="s">
        <v>119</v>
      </c>
      <c r="Y46" s="382" t="s">
        <v>119</v>
      </c>
      <c r="Z46" s="382" t="s">
        <v>119</v>
      </c>
      <c r="AA46" s="382" t="s">
        <v>119</v>
      </c>
      <c r="AB46" s="382" t="s">
        <v>119</v>
      </c>
      <c r="AC46" s="382" t="s">
        <v>119</v>
      </c>
      <c r="AD46" s="382" t="s">
        <v>119</v>
      </c>
      <c r="AE46" s="382" t="s">
        <v>119</v>
      </c>
    </row>
    <row r="47" spans="1:33" ht="25.5">
      <c r="A47" s="401">
        <v>45</v>
      </c>
      <c r="B47" s="401" t="s">
        <v>475</v>
      </c>
      <c r="C47" s="530" t="s">
        <v>476</v>
      </c>
      <c r="D47" s="530" t="s">
        <v>521</v>
      </c>
      <c r="E47" s="530"/>
      <c r="F47" s="389" t="s">
        <v>8</v>
      </c>
      <c r="G47" s="389" t="s">
        <v>255</v>
      </c>
      <c r="H47" s="379">
        <v>2</v>
      </c>
      <c r="I47" s="379">
        <v>5</v>
      </c>
      <c r="J47" s="379">
        <f t="shared" si="0"/>
        <v>2</v>
      </c>
      <c r="K47" s="379">
        <f t="shared" si="1"/>
        <v>10</v>
      </c>
      <c r="L47" s="643">
        <f>IFERROR(IF(B47="funkcna poziadavka",VLOOKUP(G47,MODULY_CBA!$B$3:$E$23,4,0)*H47/SUMIFS($H$3:$H$199,$G$3:$G$199,G47,$B$3:$B$199,B47),),)</f>
        <v>0.21323529411764705</v>
      </c>
      <c r="M47" s="379">
        <f>IFERROR(IF(B47="Funkcna poziadavka",VLOOKUP(G47,MODULY_CBA!$B$3:$E$23,3,0),),)</f>
        <v>0.93499999999999994</v>
      </c>
      <c r="N47" s="379">
        <f>IFERROR(IF(B47="funkcna poziadavka",VLOOKUP(G47,MODULY_CBA!$B$3:$E$23,2,0),),)</f>
        <v>1.18</v>
      </c>
      <c r="O47" s="378">
        <f t="shared" si="4"/>
        <v>11.268262499999999</v>
      </c>
      <c r="P47" s="377">
        <f>IFERROR(O47*VLOOKUP(G47,MODULY_CBA!$B$3:$F$23,5,0),)</f>
        <v>338.04787499999998</v>
      </c>
      <c r="Q47" s="478" t="str">
        <f>IFERROR(VLOOKUP(G47,MODULY_CBA!$B$3:$I$23,6,0),"")</f>
        <v>Inkrement 2</v>
      </c>
      <c r="R47" s="382"/>
      <c r="S47" s="382"/>
      <c r="T47" s="382"/>
      <c r="U47" s="382"/>
      <c r="V47" s="382"/>
      <c r="W47" s="382"/>
      <c r="X47" s="382"/>
      <c r="Y47" s="382"/>
      <c r="Z47" s="382"/>
      <c r="AA47" s="382"/>
      <c r="AB47" s="382"/>
      <c r="AC47" s="382"/>
      <c r="AD47" s="382"/>
      <c r="AE47" s="382"/>
    </row>
    <row r="48" spans="1:33" ht="25.5">
      <c r="A48" s="401">
        <v>46</v>
      </c>
      <c r="B48" s="401" t="s">
        <v>475</v>
      </c>
      <c r="C48" s="530" t="s">
        <v>476</v>
      </c>
      <c r="D48" s="530" t="s">
        <v>522</v>
      </c>
      <c r="E48" s="530"/>
      <c r="F48" s="389" t="s">
        <v>8</v>
      </c>
      <c r="G48" s="389" t="s">
        <v>255</v>
      </c>
      <c r="H48" s="379">
        <v>2</v>
      </c>
      <c r="I48" s="379">
        <v>5</v>
      </c>
      <c r="J48" s="379">
        <f t="shared" si="0"/>
        <v>2</v>
      </c>
      <c r="K48" s="379">
        <f t="shared" si="1"/>
        <v>10</v>
      </c>
      <c r="L48" s="643">
        <f>IFERROR(IF(B48="funkcna poziadavka",VLOOKUP(G48,MODULY_CBA!$B$3:$E$23,4,0)*H48/SUMIFS($H$3:$H$199,$G$3:$G$199,G48,$B$3:$B$199,B48),),)</f>
        <v>0.21323529411764705</v>
      </c>
      <c r="M48" s="379">
        <f>IFERROR(IF(B48="Funkcna poziadavka",VLOOKUP(G48,MODULY_CBA!$B$3:$E$23,3,0),),)</f>
        <v>0.93499999999999994</v>
      </c>
      <c r="N48" s="379">
        <f>IFERROR(IF(B48="funkcna poziadavka",VLOOKUP(G48,MODULY_CBA!$B$3:$E$23,2,0),),)</f>
        <v>1.18</v>
      </c>
      <c r="O48" s="378">
        <f t="shared" si="4"/>
        <v>11.268262499999999</v>
      </c>
      <c r="P48" s="377">
        <f>IFERROR(O48*VLOOKUP(G48,MODULY_CBA!$B$3:$F$23,5,0),)</f>
        <v>338.04787499999998</v>
      </c>
      <c r="Q48" s="478" t="str">
        <f>IFERROR(VLOOKUP(G48,MODULY_CBA!$B$3:$I$23,6,0),"")</f>
        <v>Inkrement 2</v>
      </c>
      <c r="R48" s="382"/>
      <c r="S48" s="382"/>
      <c r="T48" s="382"/>
      <c r="U48" s="382"/>
      <c r="V48" s="382"/>
      <c r="W48" s="382"/>
      <c r="X48" s="382"/>
      <c r="Y48" s="382"/>
      <c r="Z48" s="382"/>
      <c r="AA48" s="382"/>
      <c r="AB48" s="382"/>
      <c r="AC48" s="382"/>
      <c r="AD48" s="382"/>
      <c r="AE48" s="382"/>
    </row>
    <row r="49" spans="1:31" ht="25.5">
      <c r="A49" s="401">
        <v>47</v>
      </c>
      <c r="B49" s="401" t="s">
        <v>475</v>
      </c>
      <c r="C49" s="530" t="s">
        <v>476</v>
      </c>
      <c r="D49" s="530" t="s">
        <v>523</v>
      </c>
      <c r="E49" s="530"/>
      <c r="F49" s="389" t="s">
        <v>8</v>
      </c>
      <c r="G49" s="389" t="s">
        <v>255</v>
      </c>
      <c r="H49" s="379">
        <v>2</v>
      </c>
      <c r="I49" s="379">
        <v>5</v>
      </c>
      <c r="J49" s="379">
        <f t="shared" si="0"/>
        <v>2</v>
      </c>
      <c r="K49" s="379">
        <f t="shared" si="1"/>
        <v>10</v>
      </c>
      <c r="L49" s="643">
        <f>IFERROR(IF(B49="funkcna poziadavka",VLOOKUP(G49,MODULY_CBA!$B$3:$E$23,4,0)*H49/SUMIFS($H$3:$H$199,$G$3:$G$199,G49,$B$3:$B$199,B49),),)</f>
        <v>0.21323529411764705</v>
      </c>
      <c r="M49" s="379">
        <f>IFERROR(IF(B49="Funkcna poziadavka",VLOOKUP(G49,MODULY_CBA!$B$3:$E$23,3,0),),)</f>
        <v>0.93499999999999994</v>
      </c>
      <c r="N49" s="379">
        <f>IFERROR(IF(B49="funkcna poziadavka",VLOOKUP(G49,MODULY_CBA!$B$3:$E$23,2,0),),)</f>
        <v>1.18</v>
      </c>
      <c r="O49" s="378">
        <f t="shared" si="4"/>
        <v>11.268262499999999</v>
      </c>
      <c r="P49" s="377">
        <f>IFERROR(O49*VLOOKUP(G49,MODULY_CBA!$B$3:$F$23,5,0),)</f>
        <v>338.04787499999998</v>
      </c>
      <c r="Q49" s="478" t="str">
        <f>IFERROR(VLOOKUP(G49,MODULY_CBA!$B$3:$I$23,6,0),"")</f>
        <v>Inkrement 2</v>
      </c>
      <c r="R49" s="382"/>
      <c r="S49" s="382"/>
      <c r="T49" s="382"/>
      <c r="U49" s="382"/>
      <c r="V49" s="382"/>
      <c r="W49" s="382"/>
      <c r="X49" s="382"/>
      <c r="Y49" s="382"/>
      <c r="Z49" s="382"/>
      <c r="AA49" s="382"/>
      <c r="AB49" s="382"/>
      <c r="AC49" s="382"/>
      <c r="AD49" s="382"/>
      <c r="AE49" s="382"/>
    </row>
    <row r="50" spans="1:31" ht="25.5">
      <c r="A50" s="401">
        <v>48</v>
      </c>
      <c r="B50" s="401" t="s">
        <v>475</v>
      </c>
      <c r="C50" s="530" t="s">
        <v>476</v>
      </c>
      <c r="D50" s="530" t="s">
        <v>524</v>
      </c>
      <c r="E50" s="530"/>
      <c r="F50" s="389" t="s">
        <v>8</v>
      </c>
      <c r="G50" s="389" t="s">
        <v>255</v>
      </c>
      <c r="H50" s="379">
        <v>2</v>
      </c>
      <c r="I50" s="379">
        <v>5</v>
      </c>
      <c r="J50" s="379">
        <f t="shared" si="0"/>
        <v>2</v>
      </c>
      <c r="K50" s="379">
        <f t="shared" si="1"/>
        <v>10</v>
      </c>
      <c r="L50" s="643">
        <f>IFERROR(IF(B50="funkcna poziadavka",VLOOKUP(G50,MODULY_CBA!$B$3:$E$23,4,0)*H50/SUMIFS($H$3:$H$199,$G$3:$G$199,G50,$B$3:$B$199,B50),),)</f>
        <v>0.21323529411764705</v>
      </c>
      <c r="M50" s="379">
        <f>IFERROR(IF(B50="Funkcna poziadavka",VLOOKUP(G50,MODULY_CBA!$B$3:$E$23,3,0),),)</f>
        <v>0.93499999999999994</v>
      </c>
      <c r="N50" s="379">
        <f>IFERROR(IF(B50="funkcna poziadavka",VLOOKUP(G50,MODULY_CBA!$B$3:$E$23,2,0),),)</f>
        <v>1.18</v>
      </c>
      <c r="O50" s="378">
        <f t="shared" si="4"/>
        <v>11.268262499999999</v>
      </c>
      <c r="P50" s="377">
        <f>IFERROR(O50*VLOOKUP(G50,MODULY_CBA!$B$3:$F$23,5,0),)</f>
        <v>338.04787499999998</v>
      </c>
      <c r="Q50" s="478" t="str">
        <f>IFERROR(VLOOKUP(G50,MODULY_CBA!$B$3:$I$23,6,0),"")</f>
        <v>Inkrement 2</v>
      </c>
      <c r="R50" s="382"/>
      <c r="S50" s="382"/>
      <c r="T50" s="382"/>
      <c r="U50" s="382"/>
      <c r="V50" s="382"/>
      <c r="W50" s="382"/>
      <c r="X50" s="382"/>
      <c r="Y50" s="382"/>
      <c r="Z50" s="382"/>
      <c r="AA50" s="382"/>
      <c r="AB50" s="382"/>
      <c r="AC50" s="382"/>
      <c r="AD50" s="382"/>
      <c r="AE50" s="382"/>
    </row>
    <row r="51" spans="1:31" ht="25.5">
      <c r="A51" s="401">
        <v>49</v>
      </c>
      <c r="B51" s="401" t="s">
        <v>475</v>
      </c>
      <c r="C51" s="530" t="s">
        <v>476</v>
      </c>
      <c r="D51" s="530" t="s">
        <v>525</v>
      </c>
      <c r="E51" s="530"/>
      <c r="F51" s="389" t="s">
        <v>8</v>
      </c>
      <c r="G51" s="389" t="s">
        <v>255</v>
      </c>
      <c r="H51" s="379">
        <v>2</v>
      </c>
      <c r="I51" s="379">
        <v>5</v>
      </c>
      <c r="J51" s="379">
        <f t="shared" si="0"/>
        <v>2</v>
      </c>
      <c r="K51" s="379">
        <f t="shared" si="1"/>
        <v>10</v>
      </c>
      <c r="L51" s="643">
        <f>IFERROR(IF(B51="funkcna poziadavka",VLOOKUP(G51,MODULY_CBA!$B$3:$E$23,4,0)*H51/SUMIFS($H$3:$H$199,$G$3:$G$199,G51,$B$3:$B$199,B51),),)</f>
        <v>0.21323529411764705</v>
      </c>
      <c r="M51" s="379">
        <f>IFERROR(IF(B51="Funkcna poziadavka",VLOOKUP(G51,MODULY_CBA!$B$3:$E$23,3,0),),)</f>
        <v>0.93499999999999994</v>
      </c>
      <c r="N51" s="379">
        <f>IFERROR(IF(B51="funkcna poziadavka",VLOOKUP(G51,MODULY_CBA!$B$3:$E$23,2,0),),)</f>
        <v>1.18</v>
      </c>
      <c r="O51" s="378">
        <f t="shared" si="4"/>
        <v>11.268262499999999</v>
      </c>
      <c r="P51" s="377">
        <f>IFERROR(O51*VLOOKUP(G51,MODULY_CBA!$B$3:$F$23,5,0),)</f>
        <v>338.04787499999998</v>
      </c>
      <c r="Q51" s="478" t="str">
        <f>IFERROR(VLOOKUP(G51,MODULY_CBA!$B$3:$I$23,6,0),"")</f>
        <v>Inkrement 2</v>
      </c>
      <c r="R51" s="382"/>
      <c r="S51" s="382"/>
      <c r="T51" s="382"/>
      <c r="U51" s="382"/>
      <c r="V51" s="382"/>
      <c r="W51" s="382"/>
      <c r="X51" s="382"/>
      <c r="Y51" s="382"/>
      <c r="Z51" s="382"/>
      <c r="AA51" s="382"/>
      <c r="AB51" s="382"/>
      <c r="AC51" s="382"/>
      <c r="AD51" s="382"/>
      <c r="AE51" s="382"/>
    </row>
    <row r="52" spans="1:31" ht="25.5">
      <c r="A52" s="401">
        <v>50</v>
      </c>
      <c r="B52" s="401" t="s">
        <v>475</v>
      </c>
      <c r="C52" s="530" t="s">
        <v>476</v>
      </c>
      <c r="D52" s="530" t="s">
        <v>526</v>
      </c>
      <c r="E52" s="530"/>
      <c r="F52" s="389" t="s">
        <v>8</v>
      </c>
      <c r="G52" s="389" t="s">
        <v>255</v>
      </c>
      <c r="H52" s="379">
        <v>2</v>
      </c>
      <c r="I52" s="379">
        <v>5</v>
      </c>
      <c r="J52" s="379">
        <f t="shared" si="0"/>
        <v>2</v>
      </c>
      <c r="K52" s="379">
        <f t="shared" si="1"/>
        <v>10</v>
      </c>
      <c r="L52" s="643">
        <f>IFERROR(IF(B52="funkcna poziadavka",VLOOKUP(G52,MODULY_CBA!$B$3:$E$23,4,0)*H52/SUMIFS($H$3:$H$199,$G$3:$G$199,G52,$B$3:$B$199,B52),),)</f>
        <v>0.21323529411764705</v>
      </c>
      <c r="M52" s="379">
        <f>IFERROR(IF(B52="Funkcna poziadavka",VLOOKUP(G52,MODULY_CBA!$B$3:$E$23,3,0),),)</f>
        <v>0.93499999999999994</v>
      </c>
      <c r="N52" s="379">
        <f>IFERROR(IF(B52="funkcna poziadavka",VLOOKUP(G52,MODULY_CBA!$B$3:$E$23,2,0),),)</f>
        <v>1.18</v>
      </c>
      <c r="O52" s="378">
        <f t="shared" si="4"/>
        <v>11.268262499999999</v>
      </c>
      <c r="P52" s="377">
        <f>IFERROR(O52*VLOOKUP(G52,MODULY_CBA!$B$3:$F$23,5,0),)</f>
        <v>338.04787499999998</v>
      </c>
      <c r="Q52" s="478" t="str">
        <f>IFERROR(VLOOKUP(G52,MODULY_CBA!$B$3:$I$23,6,0),"")</f>
        <v>Inkrement 2</v>
      </c>
      <c r="R52" s="382" t="s">
        <v>119</v>
      </c>
      <c r="S52" s="382" t="s">
        <v>119</v>
      </c>
      <c r="T52" s="382" t="s">
        <v>119</v>
      </c>
      <c r="U52" s="382" t="s">
        <v>119</v>
      </c>
      <c r="V52" s="382" t="s">
        <v>119</v>
      </c>
      <c r="W52" s="382" t="s">
        <v>119</v>
      </c>
      <c r="X52" s="382" t="s">
        <v>119</v>
      </c>
      <c r="Y52" s="382" t="s">
        <v>119</v>
      </c>
      <c r="Z52" s="382" t="s">
        <v>119</v>
      </c>
      <c r="AA52" s="382" t="s">
        <v>119</v>
      </c>
      <c r="AB52" s="382" t="s">
        <v>119</v>
      </c>
      <c r="AC52" s="382" t="s">
        <v>119</v>
      </c>
      <c r="AD52" s="382" t="s">
        <v>119</v>
      </c>
      <c r="AE52" s="382" t="s">
        <v>119</v>
      </c>
    </row>
    <row r="53" spans="1:31" ht="25.5">
      <c r="A53" s="401">
        <v>51</v>
      </c>
      <c r="B53" s="401" t="s">
        <v>475</v>
      </c>
      <c r="C53" s="530" t="s">
        <v>476</v>
      </c>
      <c r="D53" s="530" t="s">
        <v>527</v>
      </c>
      <c r="E53" s="389"/>
      <c r="F53" s="389" t="s">
        <v>8</v>
      </c>
      <c r="G53" s="389" t="s">
        <v>255</v>
      </c>
      <c r="H53" s="379">
        <v>2</v>
      </c>
      <c r="I53" s="379">
        <v>5</v>
      </c>
      <c r="J53" s="379">
        <f t="shared" si="0"/>
        <v>2</v>
      </c>
      <c r="K53" s="379">
        <f t="shared" si="1"/>
        <v>10</v>
      </c>
      <c r="L53" s="643">
        <f>IFERROR(IF(B53="funkcna poziadavka",VLOOKUP(G53,MODULY_CBA!$B$3:$E$23,4,0)*H53/SUMIFS($H$3:$H$199,$G$3:$G$199,G53,$B$3:$B$199,B53),),)</f>
        <v>0.21323529411764705</v>
      </c>
      <c r="M53" s="379">
        <f>IFERROR(IF(B53="Funkcna poziadavka",VLOOKUP(G53,MODULY_CBA!$B$3:$E$23,3,0),),)</f>
        <v>0.93499999999999994</v>
      </c>
      <c r="N53" s="379">
        <f>IFERROR(IF(B53="funkcna poziadavka",VLOOKUP(G53,MODULY_CBA!$B$3:$E$23,2,0),),)</f>
        <v>1.18</v>
      </c>
      <c r="O53" s="378">
        <f t="shared" si="4"/>
        <v>11.268262499999999</v>
      </c>
      <c r="P53" s="377">
        <f>IFERROR(O53*VLOOKUP(G53,MODULY_CBA!$B$3:$F$23,5,0),)</f>
        <v>338.04787499999998</v>
      </c>
      <c r="Q53" s="478" t="str">
        <f>IFERROR(VLOOKUP(G53,MODULY_CBA!$B$3:$I$23,6,0),"")</f>
        <v>Inkrement 2</v>
      </c>
      <c r="R53" s="382" t="s">
        <v>119</v>
      </c>
      <c r="S53" s="382" t="s">
        <v>119</v>
      </c>
      <c r="T53" s="382" t="s">
        <v>119</v>
      </c>
      <c r="U53" s="382" t="s">
        <v>119</v>
      </c>
      <c r="V53" s="382" t="s">
        <v>119</v>
      </c>
      <c r="W53" s="382" t="s">
        <v>119</v>
      </c>
      <c r="X53" s="382" t="s">
        <v>119</v>
      </c>
      <c r="Y53" s="382" t="s">
        <v>119</v>
      </c>
      <c r="Z53" s="382" t="s">
        <v>119</v>
      </c>
      <c r="AA53" s="382" t="s">
        <v>119</v>
      </c>
      <c r="AB53" s="382" t="s">
        <v>119</v>
      </c>
      <c r="AC53" s="382" t="s">
        <v>119</v>
      </c>
      <c r="AD53" s="382" t="s">
        <v>119</v>
      </c>
      <c r="AE53" s="382" t="s">
        <v>119</v>
      </c>
    </row>
    <row r="54" spans="1:31" ht="25.5">
      <c r="A54" s="401">
        <v>52</v>
      </c>
      <c r="B54" s="401" t="s">
        <v>475</v>
      </c>
      <c r="C54" s="530" t="s">
        <v>476</v>
      </c>
      <c r="D54" s="530" t="s">
        <v>528</v>
      </c>
      <c r="E54" s="389"/>
      <c r="F54" s="389" t="s">
        <v>8</v>
      </c>
      <c r="G54" s="389" t="s">
        <v>255</v>
      </c>
      <c r="H54" s="379">
        <v>2</v>
      </c>
      <c r="I54" s="379">
        <v>5</v>
      </c>
      <c r="J54" s="379">
        <f t="shared" si="0"/>
        <v>2</v>
      </c>
      <c r="K54" s="379">
        <f t="shared" si="1"/>
        <v>10</v>
      </c>
      <c r="L54" s="643">
        <f>IFERROR(IF(B54="funkcna poziadavka",VLOOKUP(G54,MODULY_CBA!$B$3:$E$23,4,0)*H54/SUMIFS($H$3:$H$199,$G$3:$G$199,G54,$B$3:$B$199,B54),),)</f>
        <v>0.21323529411764705</v>
      </c>
      <c r="M54" s="379">
        <f>IFERROR(IF(B54="Funkcna poziadavka",VLOOKUP(G54,MODULY_CBA!$B$3:$E$23,3,0),),)</f>
        <v>0.93499999999999994</v>
      </c>
      <c r="N54" s="379">
        <f>IFERROR(IF(B54="funkcna poziadavka",VLOOKUP(G54,MODULY_CBA!$B$3:$E$23,2,0),),)</f>
        <v>1.18</v>
      </c>
      <c r="O54" s="378">
        <f t="shared" si="4"/>
        <v>11.268262499999999</v>
      </c>
      <c r="P54" s="377">
        <f>IFERROR(O54*VLOOKUP(G54,MODULY_CBA!$B$3:$F$23,5,0),)</f>
        <v>338.04787499999998</v>
      </c>
      <c r="Q54" s="478" t="str">
        <f>IFERROR(VLOOKUP(G54,MODULY_CBA!$B$3:$I$23,6,0),"")</f>
        <v>Inkrement 2</v>
      </c>
      <c r="R54" s="382"/>
      <c r="S54" s="382"/>
      <c r="T54" s="382"/>
      <c r="U54" s="382"/>
      <c r="V54" s="382"/>
      <c r="W54" s="382"/>
      <c r="X54" s="382"/>
      <c r="Y54" s="382"/>
      <c r="Z54" s="382"/>
      <c r="AA54" s="382"/>
      <c r="AB54" s="382"/>
      <c r="AC54" s="382"/>
      <c r="AD54" s="382"/>
      <c r="AE54" s="382"/>
    </row>
    <row r="55" spans="1:31" ht="25.5">
      <c r="A55" s="401">
        <v>53</v>
      </c>
      <c r="B55" s="401" t="s">
        <v>475</v>
      </c>
      <c r="C55" s="530" t="s">
        <v>476</v>
      </c>
      <c r="D55" s="530" t="s">
        <v>529</v>
      </c>
      <c r="E55" s="530"/>
      <c r="F55" s="389" t="s">
        <v>8</v>
      </c>
      <c r="G55" s="389" t="s">
        <v>255</v>
      </c>
      <c r="H55" s="379">
        <v>2</v>
      </c>
      <c r="I55" s="379">
        <v>5</v>
      </c>
      <c r="J55" s="379">
        <f t="shared" si="0"/>
        <v>2</v>
      </c>
      <c r="K55" s="379">
        <f t="shared" si="1"/>
        <v>10</v>
      </c>
      <c r="L55" s="643">
        <f>IFERROR(IF(B55="funkcna poziadavka",VLOOKUP(G55,MODULY_CBA!$B$3:$E$23,4,0)*H55/SUMIFS($H$3:$H$199,$G$3:$G$199,G55,$B$3:$B$199,B55),),)</f>
        <v>0.21323529411764705</v>
      </c>
      <c r="M55" s="379">
        <f>IFERROR(IF(B55="Funkcna poziadavka",VLOOKUP(G55,MODULY_CBA!$B$3:$E$23,3,0),),)</f>
        <v>0.93499999999999994</v>
      </c>
      <c r="N55" s="379">
        <f>IFERROR(IF(B55="funkcna poziadavka",VLOOKUP(G55,MODULY_CBA!$B$3:$E$23,2,0),),)</f>
        <v>1.18</v>
      </c>
      <c r="O55" s="378">
        <f t="shared" si="4"/>
        <v>11.268262499999999</v>
      </c>
      <c r="P55" s="377">
        <f>IFERROR(O55*VLOOKUP(G55,MODULY_CBA!$B$3:$F$23,5,0),)</f>
        <v>338.04787499999998</v>
      </c>
      <c r="Q55" s="478" t="str">
        <f>IFERROR(VLOOKUP(G55,MODULY_CBA!$B$3:$I$23,6,0),"")</f>
        <v>Inkrement 2</v>
      </c>
      <c r="R55" s="382"/>
      <c r="S55" s="382"/>
      <c r="T55" s="382"/>
      <c r="U55" s="382"/>
      <c r="V55" s="382"/>
      <c r="W55" s="382"/>
      <c r="X55" s="382"/>
      <c r="Y55" s="382"/>
      <c r="Z55" s="382"/>
      <c r="AA55" s="382"/>
      <c r="AB55" s="382"/>
      <c r="AC55" s="382"/>
      <c r="AD55" s="382"/>
      <c r="AE55" s="382"/>
    </row>
    <row r="56" spans="1:31" ht="25.5">
      <c r="A56" s="401">
        <v>54</v>
      </c>
      <c r="B56" s="401" t="s">
        <v>475</v>
      </c>
      <c r="C56" s="530" t="s">
        <v>476</v>
      </c>
      <c r="D56" s="530" t="s">
        <v>530</v>
      </c>
      <c r="E56" s="389"/>
      <c r="F56" s="389" t="s">
        <v>8</v>
      </c>
      <c r="G56" s="389" t="s">
        <v>255</v>
      </c>
      <c r="H56" s="379">
        <v>2</v>
      </c>
      <c r="I56" s="379">
        <v>5</v>
      </c>
      <c r="J56" s="379">
        <f t="shared" si="0"/>
        <v>2</v>
      </c>
      <c r="K56" s="379">
        <f t="shared" si="1"/>
        <v>10</v>
      </c>
      <c r="L56" s="643">
        <f>IFERROR(IF(B56="funkcna poziadavka",VLOOKUP(G56,MODULY_CBA!$B$3:$E$23,4,0)*H56/SUMIFS($H$3:$H$199,$G$3:$G$199,G56,$B$3:$B$199,B56),),)</f>
        <v>0.21323529411764705</v>
      </c>
      <c r="M56" s="379">
        <f>IFERROR(IF(B56="Funkcna poziadavka",VLOOKUP(G56,MODULY_CBA!$B$3:$E$23,3,0),),)</f>
        <v>0.93499999999999994</v>
      </c>
      <c r="N56" s="379">
        <f>IFERROR(IF(B56="funkcna poziadavka",VLOOKUP(G56,MODULY_CBA!$B$3:$E$23,2,0),),)</f>
        <v>1.18</v>
      </c>
      <c r="O56" s="378">
        <f t="shared" si="4"/>
        <v>11.268262499999999</v>
      </c>
      <c r="P56" s="377">
        <f>IFERROR(O56*VLOOKUP(G56,MODULY_CBA!$B$3:$F$23,5,0),)</f>
        <v>338.04787499999998</v>
      </c>
      <c r="Q56" s="478" t="str">
        <f>IFERROR(VLOOKUP(G56,MODULY_CBA!$B$3:$I$23,6,0),"")</f>
        <v>Inkrement 2</v>
      </c>
      <c r="R56" s="382" t="s">
        <v>119</v>
      </c>
      <c r="S56" s="382" t="s">
        <v>119</v>
      </c>
      <c r="T56" s="382" t="s">
        <v>119</v>
      </c>
      <c r="U56" s="382" t="s">
        <v>119</v>
      </c>
      <c r="V56" s="382" t="s">
        <v>119</v>
      </c>
      <c r="W56" s="382" t="s">
        <v>119</v>
      </c>
      <c r="X56" s="382" t="s">
        <v>119</v>
      </c>
      <c r="Y56" s="382" t="s">
        <v>119</v>
      </c>
      <c r="Z56" s="382" t="s">
        <v>119</v>
      </c>
      <c r="AA56" s="382" t="s">
        <v>119</v>
      </c>
      <c r="AB56" s="382" t="s">
        <v>119</v>
      </c>
      <c r="AC56" s="382" t="s">
        <v>119</v>
      </c>
      <c r="AD56" s="382" t="s">
        <v>119</v>
      </c>
      <c r="AE56" s="382" t="s">
        <v>119</v>
      </c>
    </row>
    <row r="57" spans="1:31" ht="25.5">
      <c r="A57" s="401">
        <v>55</v>
      </c>
      <c r="B57" s="401" t="s">
        <v>475</v>
      </c>
      <c r="C57" s="530" t="s">
        <v>476</v>
      </c>
      <c r="D57" s="534" t="s">
        <v>531</v>
      </c>
      <c r="E57" s="389"/>
      <c r="F57" s="389" t="s">
        <v>8</v>
      </c>
      <c r="G57" s="389" t="s">
        <v>255</v>
      </c>
      <c r="H57" s="379">
        <v>2</v>
      </c>
      <c r="I57" s="379">
        <v>5</v>
      </c>
      <c r="J57" s="379">
        <f t="shared" si="0"/>
        <v>2</v>
      </c>
      <c r="K57" s="379">
        <f t="shared" si="1"/>
        <v>10</v>
      </c>
      <c r="L57" s="643">
        <f>IFERROR(IF(B57="funkcna poziadavka",VLOOKUP(G57,MODULY_CBA!$B$3:$E$23,4,0)*H57/SUMIFS($H$3:$H$199,$G$3:$G$199,G57,$B$3:$B$199,B57),),)</f>
        <v>0.21323529411764705</v>
      </c>
      <c r="M57" s="379">
        <f>IFERROR(IF(B57="Funkcna poziadavka",VLOOKUP(G57,MODULY_CBA!$B$3:$E$23,3,0),),)</f>
        <v>0.93499999999999994</v>
      </c>
      <c r="N57" s="379">
        <f>IFERROR(IF(B57="funkcna poziadavka",VLOOKUP(G57,MODULY_CBA!$B$3:$E$23,2,0),),)</f>
        <v>1.18</v>
      </c>
      <c r="O57" s="378">
        <f t="shared" si="4"/>
        <v>11.268262499999999</v>
      </c>
      <c r="P57" s="377">
        <f>IFERROR(O57*VLOOKUP(G57,MODULY_CBA!$B$3:$F$23,5,0),)</f>
        <v>338.04787499999998</v>
      </c>
      <c r="Q57" s="478" t="str">
        <f>IFERROR(VLOOKUP(G57,MODULY_CBA!$B$3:$I$23,6,0),"")</f>
        <v>Inkrement 2</v>
      </c>
      <c r="R57" s="382"/>
      <c r="S57" s="382"/>
      <c r="T57" s="382"/>
      <c r="U57" s="382"/>
      <c r="V57" s="382"/>
      <c r="W57" s="382"/>
      <c r="X57" s="382"/>
      <c r="Y57" s="382"/>
      <c r="Z57" s="382"/>
      <c r="AA57" s="382"/>
      <c r="AB57" s="382"/>
      <c r="AC57" s="382"/>
      <c r="AD57" s="382"/>
      <c r="AE57" s="382"/>
    </row>
    <row r="58" spans="1:31" ht="25.5">
      <c r="A58" s="401">
        <v>56</v>
      </c>
      <c r="B58" s="401" t="s">
        <v>475</v>
      </c>
      <c r="C58" s="530" t="s">
        <v>476</v>
      </c>
      <c r="D58" s="530" t="s">
        <v>532</v>
      </c>
      <c r="E58" s="389"/>
      <c r="F58" s="389" t="s">
        <v>8</v>
      </c>
      <c r="G58" s="389" t="s">
        <v>255</v>
      </c>
      <c r="H58" s="379">
        <v>2</v>
      </c>
      <c r="I58" s="379">
        <v>5</v>
      </c>
      <c r="J58" s="379">
        <f t="shared" si="0"/>
        <v>2</v>
      </c>
      <c r="K58" s="379">
        <f t="shared" si="1"/>
        <v>10</v>
      </c>
      <c r="L58" s="643">
        <f>IFERROR(IF(B58="funkcna poziadavka",VLOOKUP(G58,MODULY_CBA!$B$3:$E$23,4,0)*H58/SUMIFS($H$3:$H$199,$G$3:$G$199,G58,$B$3:$B$199,B58),),)</f>
        <v>0.21323529411764705</v>
      </c>
      <c r="M58" s="379">
        <f>IFERROR(IF(B58="Funkcna poziadavka",VLOOKUP(G58,MODULY_CBA!$B$3:$E$23,3,0),),)</f>
        <v>0.93499999999999994</v>
      </c>
      <c r="N58" s="379">
        <f>IFERROR(IF(B58="funkcna poziadavka",VLOOKUP(G58,MODULY_CBA!$B$3:$E$23,2,0),),)</f>
        <v>1.18</v>
      </c>
      <c r="O58" s="378">
        <f t="shared" si="4"/>
        <v>11.268262499999999</v>
      </c>
      <c r="P58" s="377">
        <f>IFERROR(O58*VLOOKUP(G58,MODULY_CBA!$B$3:$F$23,5,0),)</f>
        <v>338.04787499999998</v>
      </c>
      <c r="Q58" s="478" t="str">
        <f>IFERROR(VLOOKUP(G58,MODULY_CBA!$B$3:$I$23,6,0),"")</f>
        <v>Inkrement 2</v>
      </c>
      <c r="R58" s="382"/>
      <c r="S58" s="382"/>
      <c r="T58" s="382"/>
      <c r="U58" s="382"/>
      <c r="V58" s="382"/>
      <c r="W58" s="382"/>
      <c r="X58" s="382"/>
      <c r="Y58" s="382"/>
      <c r="Z58" s="382"/>
      <c r="AA58" s="382"/>
      <c r="AB58" s="382"/>
      <c r="AC58" s="382"/>
      <c r="AD58" s="382"/>
      <c r="AE58" s="382"/>
    </row>
    <row r="59" spans="1:31" ht="25.5">
      <c r="A59" s="401">
        <v>57</v>
      </c>
      <c r="B59" s="401" t="s">
        <v>475</v>
      </c>
      <c r="C59" s="530" t="s">
        <v>476</v>
      </c>
      <c r="D59" s="530" t="s">
        <v>533</v>
      </c>
      <c r="E59" s="389"/>
      <c r="F59" s="389" t="s">
        <v>8</v>
      </c>
      <c r="G59" s="389" t="s">
        <v>255</v>
      </c>
      <c r="H59" s="379">
        <v>2</v>
      </c>
      <c r="I59" s="379">
        <v>5</v>
      </c>
      <c r="J59" s="379">
        <f t="shared" si="0"/>
        <v>2</v>
      </c>
      <c r="K59" s="379">
        <f t="shared" si="1"/>
        <v>10</v>
      </c>
      <c r="L59" s="643">
        <f>IFERROR(IF(B59="funkcna poziadavka",VLOOKUP(G59,MODULY_CBA!$B$3:$E$23,4,0)*H59/SUMIFS($H$3:$H$199,$G$3:$G$199,G59,$B$3:$B$199,B59),),)</f>
        <v>0.21323529411764705</v>
      </c>
      <c r="M59" s="379">
        <f>IFERROR(IF(B59="Funkcna poziadavka",VLOOKUP(G59,MODULY_CBA!$B$3:$E$23,3,0),),)</f>
        <v>0.93499999999999994</v>
      </c>
      <c r="N59" s="379">
        <f>IFERROR(IF(B59="funkcna poziadavka",VLOOKUP(G59,MODULY_CBA!$B$3:$E$23,2,0),),)</f>
        <v>1.18</v>
      </c>
      <c r="O59" s="378">
        <f t="shared" si="4"/>
        <v>11.268262499999999</v>
      </c>
      <c r="P59" s="377">
        <f>IFERROR(O59*VLOOKUP(G59,MODULY_CBA!$B$3:$F$23,5,0),)</f>
        <v>338.04787499999998</v>
      </c>
      <c r="Q59" s="478" t="str">
        <f>IFERROR(VLOOKUP(G59,MODULY_CBA!$B$3:$I$23,6,0),"")</f>
        <v>Inkrement 2</v>
      </c>
      <c r="R59" s="382"/>
      <c r="S59" s="382"/>
      <c r="T59" s="382"/>
      <c r="U59" s="382"/>
      <c r="V59" s="382"/>
      <c r="W59" s="382"/>
      <c r="X59" s="382"/>
      <c r="Y59" s="382"/>
      <c r="Z59" s="382"/>
      <c r="AA59" s="382"/>
      <c r="AB59" s="382"/>
      <c r="AC59" s="382"/>
      <c r="AD59" s="382"/>
      <c r="AE59" s="382"/>
    </row>
    <row r="60" spans="1:31" ht="25.5">
      <c r="A60" s="401">
        <v>58</v>
      </c>
      <c r="B60" s="401" t="s">
        <v>475</v>
      </c>
      <c r="C60" s="530" t="s">
        <v>476</v>
      </c>
      <c r="D60" s="530" t="s">
        <v>534</v>
      </c>
      <c r="E60" s="389"/>
      <c r="F60" s="389" t="s">
        <v>8</v>
      </c>
      <c r="G60" s="389" t="s">
        <v>255</v>
      </c>
      <c r="H60" s="379">
        <v>2</v>
      </c>
      <c r="I60" s="379">
        <v>5</v>
      </c>
      <c r="J60" s="379">
        <f t="shared" si="0"/>
        <v>2</v>
      </c>
      <c r="K60" s="379">
        <f t="shared" si="1"/>
        <v>10</v>
      </c>
      <c r="L60" s="643">
        <f>IFERROR(IF(B60="funkcna poziadavka",VLOOKUP(G60,MODULY_CBA!$B$3:$E$23,4,0)*H60/SUMIFS($H$3:$H$199,$G$3:$G$199,G60,$B$3:$B$199,B60),),)</f>
        <v>0.21323529411764705</v>
      </c>
      <c r="M60" s="379">
        <f>IFERROR(IF(B60="Funkcna poziadavka",VLOOKUP(G60,MODULY_CBA!$B$3:$E$23,3,0),),)</f>
        <v>0.93499999999999994</v>
      </c>
      <c r="N60" s="379">
        <f>IFERROR(IF(B60="funkcna poziadavka",VLOOKUP(G60,MODULY_CBA!$B$3:$E$23,2,0),),)</f>
        <v>1.18</v>
      </c>
      <c r="O60" s="378">
        <f t="shared" si="4"/>
        <v>11.268262499999999</v>
      </c>
      <c r="P60" s="377">
        <f>IFERROR(O60*VLOOKUP(G60,MODULY_CBA!$B$3:$F$23,5,0),)</f>
        <v>338.04787499999998</v>
      </c>
      <c r="Q60" s="478" t="str">
        <f>IFERROR(VLOOKUP(G60,MODULY_CBA!$B$3:$I$23,6,0),"")</f>
        <v>Inkrement 2</v>
      </c>
      <c r="R60" s="382"/>
      <c r="S60" s="382"/>
      <c r="T60" s="382"/>
      <c r="U60" s="382"/>
      <c r="V60" s="382"/>
      <c r="W60" s="382"/>
      <c r="X60" s="382"/>
      <c r="Y60" s="382"/>
      <c r="Z60" s="382"/>
      <c r="AA60" s="382"/>
      <c r="AB60" s="382"/>
      <c r="AC60" s="382"/>
      <c r="AD60" s="382"/>
      <c r="AE60" s="382"/>
    </row>
    <row r="61" spans="1:31" ht="25.5">
      <c r="A61" s="401">
        <v>59</v>
      </c>
      <c r="B61" s="401" t="s">
        <v>475</v>
      </c>
      <c r="C61" s="530" t="s">
        <v>476</v>
      </c>
      <c r="D61" s="534" t="s">
        <v>535</v>
      </c>
      <c r="E61" s="389"/>
      <c r="F61" s="389" t="s">
        <v>8</v>
      </c>
      <c r="G61" s="389" t="s">
        <v>255</v>
      </c>
      <c r="H61" s="379">
        <v>2</v>
      </c>
      <c r="I61" s="379">
        <v>5</v>
      </c>
      <c r="J61" s="379">
        <f t="shared" si="0"/>
        <v>2</v>
      </c>
      <c r="K61" s="379">
        <f t="shared" si="1"/>
        <v>10</v>
      </c>
      <c r="L61" s="643">
        <f>IFERROR(IF(B61="funkcna poziadavka",VLOOKUP(G61,MODULY_CBA!$B$3:$E$23,4,0)*H61/SUMIFS($H$3:$H$199,$G$3:$G$199,G61,$B$3:$B$199,B61),),)</f>
        <v>0.21323529411764705</v>
      </c>
      <c r="M61" s="379">
        <f>IFERROR(IF(B61="Funkcna poziadavka",VLOOKUP(G61,MODULY_CBA!$B$3:$E$23,3,0),),)</f>
        <v>0.93499999999999994</v>
      </c>
      <c r="N61" s="379">
        <f>IFERROR(IF(B61="funkcna poziadavka",VLOOKUP(G61,MODULY_CBA!$B$3:$E$23,2,0),),)</f>
        <v>1.18</v>
      </c>
      <c r="O61" s="378">
        <f t="shared" si="4"/>
        <v>11.268262499999999</v>
      </c>
      <c r="P61" s="377">
        <f>IFERROR(O61*VLOOKUP(G61,MODULY_CBA!$B$3:$F$23,5,0),)</f>
        <v>338.04787499999998</v>
      </c>
      <c r="Q61" s="478" t="str">
        <f>IFERROR(VLOOKUP(G61,MODULY_CBA!$B$3:$I$23,6,0),"")</f>
        <v>Inkrement 2</v>
      </c>
      <c r="R61" s="382"/>
      <c r="S61" s="382"/>
      <c r="T61" s="382"/>
      <c r="U61" s="382"/>
      <c r="V61" s="382"/>
      <c r="W61" s="382"/>
      <c r="X61" s="382"/>
      <c r="Y61" s="382"/>
      <c r="Z61" s="382"/>
      <c r="AA61" s="382"/>
      <c r="AB61" s="382"/>
      <c r="AC61" s="382"/>
      <c r="AD61" s="382"/>
      <c r="AE61" s="382"/>
    </row>
    <row r="62" spans="1:31" ht="25.5">
      <c r="A62" s="401">
        <v>60</v>
      </c>
      <c r="B62" s="401" t="s">
        <v>475</v>
      </c>
      <c r="C62" s="530" t="s">
        <v>476</v>
      </c>
      <c r="D62" s="530" t="s">
        <v>536</v>
      </c>
      <c r="E62" s="389"/>
      <c r="F62" s="389" t="s">
        <v>8</v>
      </c>
      <c r="G62" s="389" t="s">
        <v>255</v>
      </c>
      <c r="H62" s="379">
        <v>2</v>
      </c>
      <c r="I62" s="379">
        <v>5</v>
      </c>
      <c r="J62" s="379">
        <f t="shared" si="0"/>
        <v>2</v>
      </c>
      <c r="K62" s="379">
        <f t="shared" si="1"/>
        <v>10</v>
      </c>
      <c r="L62" s="643">
        <f>IFERROR(IF(B62="funkcna poziadavka",VLOOKUP(G62,MODULY_CBA!$B$3:$E$23,4,0)*H62/SUMIFS($H$3:$H$199,$G$3:$G$199,G62,$B$3:$B$199,B62),),)</f>
        <v>0.21323529411764705</v>
      </c>
      <c r="M62" s="379">
        <f>IFERROR(IF(B62="Funkcna poziadavka",VLOOKUP(G62,MODULY_CBA!$B$3:$E$23,3,0),),)</f>
        <v>0.93499999999999994</v>
      </c>
      <c r="N62" s="379">
        <f>IFERROR(IF(B62="funkcna poziadavka",VLOOKUP(G62,MODULY_CBA!$B$3:$E$23,2,0),),)</f>
        <v>1.18</v>
      </c>
      <c r="O62" s="378">
        <f t="shared" si="4"/>
        <v>11.268262499999999</v>
      </c>
      <c r="P62" s="377">
        <f>IFERROR(O62*VLOOKUP(G62,MODULY_CBA!$B$3:$F$23,5,0),)</f>
        <v>338.04787499999998</v>
      </c>
      <c r="Q62" s="478" t="str">
        <f>IFERROR(VLOOKUP(G62,MODULY_CBA!$B$3:$I$23,6,0),"")</f>
        <v>Inkrement 2</v>
      </c>
      <c r="R62" s="382"/>
      <c r="S62" s="382"/>
      <c r="T62" s="382"/>
      <c r="U62" s="382"/>
      <c r="V62" s="382"/>
      <c r="W62" s="382"/>
      <c r="X62" s="382"/>
      <c r="Y62" s="382"/>
      <c r="Z62" s="382"/>
      <c r="AA62" s="382"/>
      <c r="AB62" s="382"/>
      <c r="AC62" s="382"/>
      <c r="AD62" s="382"/>
      <c r="AE62" s="382"/>
    </row>
    <row r="63" spans="1:31" ht="25.5">
      <c r="A63" s="401">
        <v>61</v>
      </c>
      <c r="B63" s="401" t="s">
        <v>475</v>
      </c>
      <c r="C63" s="530" t="s">
        <v>476</v>
      </c>
      <c r="D63" s="530" t="s">
        <v>537</v>
      </c>
      <c r="E63" s="389"/>
      <c r="F63" s="389" t="s">
        <v>8</v>
      </c>
      <c r="G63" s="389" t="s">
        <v>255</v>
      </c>
      <c r="H63" s="379">
        <v>2</v>
      </c>
      <c r="I63" s="379">
        <v>5</v>
      </c>
      <c r="J63" s="379">
        <f t="shared" si="0"/>
        <v>2</v>
      </c>
      <c r="K63" s="379">
        <f t="shared" si="1"/>
        <v>10</v>
      </c>
      <c r="L63" s="643">
        <f>IFERROR(IF(B63="funkcna poziadavka",VLOOKUP(G63,MODULY_CBA!$B$3:$E$23,4,0)*H63/SUMIFS($H$3:$H$199,$G$3:$G$199,G63,$B$3:$B$199,B63),),)</f>
        <v>0.21323529411764705</v>
      </c>
      <c r="M63" s="379">
        <f>IFERROR(IF(B63="Funkcna poziadavka",VLOOKUP(G63,MODULY_CBA!$B$3:$E$23,3,0),),)</f>
        <v>0.93499999999999994</v>
      </c>
      <c r="N63" s="379">
        <f>IFERROR(IF(B63="funkcna poziadavka",VLOOKUP(G63,MODULY_CBA!$B$3:$E$23,2,0),),)</f>
        <v>1.18</v>
      </c>
      <c r="O63" s="378">
        <f t="shared" si="4"/>
        <v>11.268262499999999</v>
      </c>
      <c r="P63" s="377">
        <f>IFERROR(O63*VLOOKUP(G63,MODULY_CBA!$B$3:$F$23,5,0),)</f>
        <v>338.04787499999998</v>
      </c>
      <c r="Q63" s="478" t="str">
        <f>IFERROR(VLOOKUP(G63,MODULY_CBA!$B$3:$I$23,6,0),"")</f>
        <v>Inkrement 2</v>
      </c>
      <c r="R63" s="382"/>
      <c r="S63" s="382"/>
      <c r="T63" s="382"/>
      <c r="U63" s="382"/>
      <c r="V63" s="382"/>
      <c r="W63" s="382"/>
      <c r="X63" s="382"/>
      <c r="Y63" s="382"/>
      <c r="Z63" s="382"/>
      <c r="AA63" s="382"/>
      <c r="AB63" s="382"/>
      <c r="AC63" s="382"/>
      <c r="AD63" s="382"/>
      <c r="AE63" s="382"/>
    </row>
    <row r="64" spans="1:31" ht="25.5">
      <c r="A64" s="401">
        <v>62</v>
      </c>
      <c r="B64" s="401" t="s">
        <v>475</v>
      </c>
      <c r="C64" s="530" t="s">
        <v>476</v>
      </c>
      <c r="D64" s="530" t="s">
        <v>538</v>
      </c>
      <c r="E64" s="389"/>
      <c r="F64" s="389" t="s">
        <v>8</v>
      </c>
      <c r="G64" s="389" t="s">
        <v>255</v>
      </c>
      <c r="H64" s="379">
        <v>2</v>
      </c>
      <c r="I64" s="379">
        <v>5</v>
      </c>
      <c r="J64" s="379">
        <f t="shared" si="0"/>
        <v>2</v>
      </c>
      <c r="K64" s="379">
        <f t="shared" si="1"/>
        <v>10</v>
      </c>
      <c r="L64" s="643">
        <f>IFERROR(IF(B64="funkcna poziadavka",VLOOKUP(G64,MODULY_CBA!$B$3:$E$23,4,0)*H64/SUMIFS($H$3:$H$199,$G$3:$G$199,G64,$B$3:$B$199,B64),),)</f>
        <v>0.21323529411764705</v>
      </c>
      <c r="M64" s="379">
        <f>IFERROR(IF(B64="Funkcna poziadavka",VLOOKUP(G64,MODULY_CBA!$B$3:$E$23,3,0),),)</f>
        <v>0.93499999999999994</v>
      </c>
      <c r="N64" s="379">
        <f>IFERROR(IF(B64="funkcna poziadavka",VLOOKUP(G64,MODULY_CBA!$B$3:$E$23,2,0),),)</f>
        <v>1.18</v>
      </c>
      <c r="O64" s="378">
        <f t="shared" si="4"/>
        <v>11.268262499999999</v>
      </c>
      <c r="P64" s="377">
        <f>IFERROR(O64*VLOOKUP(G64,MODULY_CBA!$B$3:$F$23,5,0),)</f>
        <v>338.04787499999998</v>
      </c>
      <c r="Q64" s="478" t="str">
        <f>IFERROR(VLOOKUP(G64,MODULY_CBA!$B$3:$I$23,6,0),"")</f>
        <v>Inkrement 2</v>
      </c>
      <c r="R64" s="382"/>
      <c r="S64" s="382"/>
      <c r="T64" s="382"/>
      <c r="U64" s="382"/>
      <c r="V64" s="382"/>
      <c r="W64" s="382"/>
      <c r="X64" s="382"/>
      <c r="Y64" s="382"/>
      <c r="Z64" s="382"/>
      <c r="AA64" s="382"/>
      <c r="AB64" s="382"/>
      <c r="AC64" s="382"/>
      <c r="AD64" s="382"/>
      <c r="AE64" s="382"/>
    </row>
    <row r="65" spans="1:31" ht="25.5">
      <c r="A65" s="401">
        <v>63</v>
      </c>
      <c r="B65" s="401" t="s">
        <v>475</v>
      </c>
      <c r="C65" s="530" t="s">
        <v>476</v>
      </c>
      <c r="D65" s="530" t="s">
        <v>539</v>
      </c>
      <c r="E65" s="389"/>
      <c r="F65" s="389" t="s">
        <v>8</v>
      </c>
      <c r="G65" s="389" t="s">
        <v>255</v>
      </c>
      <c r="H65" s="379">
        <v>2</v>
      </c>
      <c r="I65" s="379">
        <v>5</v>
      </c>
      <c r="J65" s="379">
        <f t="shared" si="0"/>
        <v>2</v>
      </c>
      <c r="K65" s="379">
        <f t="shared" si="1"/>
        <v>10</v>
      </c>
      <c r="L65" s="643">
        <f>IFERROR(IF(B65="funkcna poziadavka",VLOOKUP(G65,MODULY_CBA!$B$3:$E$23,4,0)*H65/SUMIFS($H$3:$H$199,$G$3:$G$199,G65,$B$3:$B$199,B65),),)</f>
        <v>0.21323529411764705</v>
      </c>
      <c r="M65" s="379">
        <f>IFERROR(IF(B65="Funkcna poziadavka",VLOOKUP(G65,MODULY_CBA!$B$3:$E$23,3,0),),)</f>
        <v>0.93499999999999994</v>
      </c>
      <c r="N65" s="379">
        <f>IFERROR(IF(B65="funkcna poziadavka",VLOOKUP(G65,MODULY_CBA!$B$3:$E$23,2,0),),)</f>
        <v>1.18</v>
      </c>
      <c r="O65" s="378">
        <f t="shared" si="4"/>
        <v>11.268262499999999</v>
      </c>
      <c r="P65" s="377">
        <f>IFERROR(O65*VLOOKUP(G65,MODULY_CBA!$B$3:$F$23,5,0),)</f>
        <v>338.04787499999998</v>
      </c>
      <c r="Q65" s="478" t="str">
        <f>IFERROR(VLOOKUP(G65,MODULY_CBA!$B$3:$I$23,6,0),"")</f>
        <v>Inkrement 2</v>
      </c>
      <c r="R65" s="382"/>
      <c r="S65" s="382"/>
      <c r="T65" s="382"/>
      <c r="U65" s="382"/>
      <c r="V65" s="382"/>
      <c r="W65" s="382"/>
      <c r="X65" s="382"/>
      <c r="Y65" s="382"/>
      <c r="Z65" s="382"/>
      <c r="AA65" s="382"/>
      <c r="AB65" s="382"/>
      <c r="AC65" s="382"/>
      <c r="AD65" s="382"/>
      <c r="AE65" s="382"/>
    </row>
    <row r="66" spans="1:31" ht="25.5">
      <c r="A66" s="401">
        <v>64</v>
      </c>
      <c r="B66" s="401" t="s">
        <v>475</v>
      </c>
      <c r="C66" s="530" t="s">
        <v>476</v>
      </c>
      <c r="D66" s="530" t="s">
        <v>540</v>
      </c>
      <c r="E66" s="389"/>
      <c r="F66" s="389" t="s">
        <v>8</v>
      </c>
      <c r="G66" s="389" t="s">
        <v>255</v>
      </c>
      <c r="H66" s="379">
        <v>2</v>
      </c>
      <c r="I66" s="379">
        <v>5</v>
      </c>
      <c r="J66" s="379">
        <f t="shared" si="0"/>
        <v>2</v>
      </c>
      <c r="K66" s="379">
        <f t="shared" si="1"/>
        <v>10</v>
      </c>
      <c r="L66" s="643">
        <f>IFERROR(IF(B66="funkcna poziadavka",VLOOKUP(G66,MODULY_CBA!$B$3:$E$23,4,0)*H66/SUMIFS($H$3:$H$199,$G$3:$G$199,G66,$B$3:$B$199,B66),),)</f>
        <v>0.21323529411764705</v>
      </c>
      <c r="M66" s="379">
        <f>IFERROR(IF(B66="Funkcna poziadavka",VLOOKUP(G66,MODULY_CBA!$B$3:$E$23,3,0),),)</f>
        <v>0.93499999999999994</v>
      </c>
      <c r="N66" s="379">
        <f>IFERROR(IF(B66="funkcna poziadavka",VLOOKUP(G66,MODULY_CBA!$B$3:$E$23,2,0),),)</f>
        <v>1.18</v>
      </c>
      <c r="O66" s="378">
        <f t="shared" si="4"/>
        <v>11.268262499999999</v>
      </c>
      <c r="P66" s="377">
        <f>IFERROR(O66*VLOOKUP(G66,MODULY_CBA!$B$3:$F$23,5,0),)</f>
        <v>338.04787499999998</v>
      </c>
      <c r="Q66" s="478" t="str">
        <f>IFERROR(VLOOKUP(G66,MODULY_CBA!$B$3:$I$23,6,0),"")</f>
        <v>Inkrement 2</v>
      </c>
      <c r="R66" s="382"/>
      <c r="S66" s="382"/>
      <c r="T66" s="382"/>
      <c r="U66" s="382"/>
      <c r="V66" s="382"/>
      <c r="W66" s="382"/>
      <c r="X66" s="382"/>
      <c r="Y66" s="382"/>
      <c r="Z66" s="382"/>
      <c r="AA66" s="382"/>
      <c r="AB66" s="382"/>
      <c r="AC66" s="382"/>
      <c r="AD66" s="382"/>
      <c r="AE66" s="382"/>
    </row>
    <row r="67" spans="1:31" ht="25.5">
      <c r="A67" s="401">
        <v>65</v>
      </c>
      <c r="B67" s="401" t="s">
        <v>475</v>
      </c>
      <c r="C67" s="530" t="s">
        <v>476</v>
      </c>
      <c r="D67" s="530" t="s">
        <v>541</v>
      </c>
      <c r="E67" s="389"/>
      <c r="F67" s="389" t="s">
        <v>8</v>
      </c>
      <c r="G67" s="389" t="s">
        <v>255</v>
      </c>
      <c r="H67" s="379">
        <v>2</v>
      </c>
      <c r="I67" s="379">
        <v>5</v>
      </c>
      <c r="J67" s="379">
        <f t="shared" si="0"/>
        <v>2</v>
      </c>
      <c r="K67" s="379">
        <f t="shared" si="1"/>
        <v>10</v>
      </c>
      <c r="L67" s="643">
        <f>IFERROR(IF(B67="funkcna poziadavka",VLOOKUP(G67,MODULY_CBA!$B$3:$E$23,4,0)*H67/SUMIFS($H$3:$H$199,$G$3:$G$199,G67,$B$3:$B$199,B67),),)</f>
        <v>0.21323529411764705</v>
      </c>
      <c r="M67" s="379">
        <f>IFERROR(IF(B67="Funkcna poziadavka",VLOOKUP(G67,MODULY_CBA!$B$3:$E$23,3,0),),)</f>
        <v>0.93499999999999994</v>
      </c>
      <c r="N67" s="379">
        <f>IFERROR(IF(B67="funkcna poziadavka",VLOOKUP(G67,MODULY_CBA!$B$3:$E$23,2,0),),)</f>
        <v>1.18</v>
      </c>
      <c r="O67" s="378">
        <f t="shared" ref="O67:O98" si="5">(K67+L67)*M67*N67</f>
        <v>11.268262499999999</v>
      </c>
      <c r="P67" s="377">
        <f>IFERROR(O67*VLOOKUP(G67,MODULY_CBA!$B$3:$F$23,5,0),)</f>
        <v>338.04787499999998</v>
      </c>
      <c r="Q67" s="478" t="str">
        <f>IFERROR(VLOOKUP(G67,MODULY_CBA!$B$3:$I$23,6,0),"")</f>
        <v>Inkrement 2</v>
      </c>
      <c r="R67" s="382"/>
      <c r="S67" s="382"/>
      <c r="T67" s="382"/>
      <c r="U67" s="382"/>
      <c r="V67" s="382"/>
      <c r="W67" s="382"/>
      <c r="X67" s="382"/>
      <c r="Y67" s="382"/>
      <c r="Z67" s="382"/>
      <c r="AA67" s="382"/>
      <c r="AB67" s="382"/>
      <c r="AC67" s="382"/>
      <c r="AD67" s="382"/>
      <c r="AE67" s="382"/>
    </row>
    <row r="68" spans="1:31" ht="25.5">
      <c r="A68" s="401">
        <v>66</v>
      </c>
      <c r="B68" s="401" t="s">
        <v>475</v>
      </c>
      <c r="C68" s="530" t="s">
        <v>476</v>
      </c>
      <c r="D68" s="530" t="s">
        <v>542</v>
      </c>
      <c r="E68" s="389"/>
      <c r="F68" s="389" t="s">
        <v>8</v>
      </c>
      <c r="G68" s="389" t="s">
        <v>255</v>
      </c>
      <c r="H68" s="379">
        <v>2</v>
      </c>
      <c r="I68" s="379">
        <v>5</v>
      </c>
      <c r="J68" s="379">
        <f t="shared" ref="J68:J131" si="6">IF(ISNUMBER(H68),H68,)</f>
        <v>2</v>
      </c>
      <c r="K68" s="379">
        <f t="shared" ref="K68:K131" si="7">H68*I68</f>
        <v>10</v>
      </c>
      <c r="L68" s="643">
        <f>IFERROR(IF(B68="funkcna poziadavka",VLOOKUP(G68,MODULY_CBA!$B$3:$E$23,4,0)*H68/SUMIFS($H$3:$H$199,$G$3:$G$199,G68,$B$3:$B$199,B68),),)</f>
        <v>0.21323529411764705</v>
      </c>
      <c r="M68" s="379">
        <f>IFERROR(IF(B68="Funkcna poziadavka",VLOOKUP(G68,MODULY_CBA!$B$3:$E$23,3,0),),)</f>
        <v>0.93499999999999994</v>
      </c>
      <c r="N68" s="379">
        <f>IFERROR(IF(B68="funkcna poziadavka",VLOOKUP(G68,MODULY_CBA!$B$3:$E$23,2,0),),)</f>
        <v>1.18</v>
      </c>
      <c r="O68" s="378">
        <f t="shared" si="5"/>
        <v>11.268262499999999</v>
      </c>
      <c r="P68" s="377">
        <f>IFERROR(O68*VLOOKUP(G68,MODULY_CBA!$B$3:$F$23,5,0),)</f>
        <v>338.04787499999998</v>
      </c>
      <c r="Q68" s="478" t="str">
        <f>IFERROR(VLOOKUP(G68,MODULY_CBA!$B$3:$I$23,6,0),"")</f>
        <v>Inkrement 2</v>
      </c>
      <c r="R68" s="382"/>
      <c r="S68" s="382"/>
      <c r="T68" s="382"/>
      <c r="U68" s="382"/>
      <c r="V68" s="382"/>
      <c r="W68" s="382"/>
      <c r="X68" s="382"/>
      <c r="Y68" s="382"/>
      <c r="Z68" s="382"/>
      <c r="AA68" s="382"/>
      <c r="AB68" s="382"/>
      <c r="AC68" s="382"/>
      <c r="AD68" s="382"/>
      <c r="AE68" s="382"/>
    </row>
    <row r="69" spans="1:31" ht="25.5">
      <c r="A69" s="401">
        <v>67</v>
      </c>
      <c r="B69" s="401" t="s">
        <v>475</v>
      </c>
      <c r="C69" s="530" t="s">
        <v>476</v>
      </c>
      <c r="D69" s="530" t="s">
        <v>543</v>
      </c>
      <c r="E69" s="389"/>
      <c r="F69" s="389" t="s">
        <v>8</v>
      </c>
      <c r="G69" s="389" t="s">
        <v>255</v>
      </c>
      <c r="H69" s="379">
        <v>2</v>
      </c>
      <c r="I69" s="379">
        <v>5</v>
      </c>
      <c r="J69" s="379">
        <f t="shared" si="6"/>
        <v>2</v>
      </c>
      <c r="K69" s="379">
        <f t="shared" si="7"/>
        <v>10</v>
      </c>
      <c r="L69" s="643">
        <f>IFERROR(IF(B69="funkcna poziadavka",VLOOKUP(G69,MODULY_CBA!$B$3:$E$23,4,0)*H69/SUMIFS($H$3:$H$199,$G$3:$G$199,G69,$B$3:$B$199,B69),),)</f>
        <v>0.21323529411764705</v>
      </c>
      <c r="M69" s="379">
        <f>IFERROR(IF(B69="Funkcna poziadavka",VLOOKUP(G69,MODULY_CBA!$B$3:$E$23,3,0),),)</f>
        <v>0.93499999999999994</v>
      </c>
      <c r="N69" s="379">
        <f>IFERROR(IF(B69="funkcna poziadavka",VLOOKUP(G69,MODULY_CBA!$B$3:$E$23,2,0),),)</f>
        <v>1.18</v>
      </c>
      <c r="O69" s="378">
        <f t="shared" si="5"/>
        <v>11.268262499999999</v>
      </c>
      <c r="P69" s="377">
        <f>IFERROR(O69*VLOOKUP(G69,MODULY_CBA!$B$3:$F$23,5,0),)</f>
        <v>338.04787499999998</v>
      </c>
      <c r="Q69" s="478" t="str">
        <f>IFERROR(VLOOKUP(G69,MODULY_CBA!$B$3:$I$23,6,0),"")</f>
        <v>Inkrement 2</v>
      </c>
      <c r="R69" s="382"/>
      <c r="S69" s="382"/>
      <c r="T69" s="382"/>
      <c r="U69" s="382"/>
      <c r="V69" s="382"/>
      <c r="W69" s="382"/>
      <c r="X69" s="382"/>
      <c r="Y69" s="382"/>
      <c r="Z69" s="382"/>
      <c r="AA69" s="382"/>
      <c r="AB69" s="382"/>
      <c r="AC69" s="382"/>
      <c r="AD69" s="382"/>
      <c r="AE69" s="382"/>
    </row>
    <row r="70" spans="1:31" ht="25.5">
      <c r="A70" s="401">
        <v>68</v>
      </c>
      <c r="B70" s="401" t="s">
        <v>475</v>
      </c>
      <c r="C70" s="530" t="s">
        <v>476</v>
      </c>
      <c r="D70" s="530" t="s">
        <v>544</v>
      </c>
      <c r="E70" s="530"/>
      <c r="F70" s="389" t="s">
        <v>8</v>
      </c>
      <c r="G70" s="389" t="s">
        <v>255</v>
      </c>
      <c r="H70" s="379">
        <v>2</v>
      </c>
      <c r="I70" s="379">
        <v>5</v>
      </c>
      <c r="J70" s="379">
        <f t="shared" si="6"/>
        <v>2</v>
      </c>
      <c r="K70" s="379">
        <f t="shared" si="7"/>
        <v>10</v>
      </c>
      <c r="L70" s="643">
        <f>IFERROR(IF(B70="funkcna poziadavka",VLOOKUP(G70,MODULY_CBA!$B$3:$E$23,4,0)*H70/SUMIFS($H$3:$H$199,$G$3:$G$199,G70,$B$3:$B$199,B70),),)</f>
        <v>0.21323529411764705</v>
      </c>
      <c r="M70" s="379">
        <f>IFERROR(IF(B70="Funkcna poziadavka",VLOOKUP(G70,MODULY_CBA!$B$3:$E$23,3,0),),)</f>
        <v>0.93499999999999994</v>
      </c>
      <c r="N70" s="379">
        <f>IFERROR(IF(B70="funkcna poziadavka",VLOOKUP(G70,MODULY_CBA!$B$3:$E$23,2,0),),)</f>
        <v>1.18</v>
      </c>
      <c r="O70" s="378">
        <f t="shared" si="5"/>
        <v>11.268262499999999</v>
      </c>
      <c r="P70" s="377">
        <f>IFERROR(O70*VLOOKUP(G70,MODULY_CBA!$B$3:$F$23,5,0),)</f>
        <v>338.04787499999998</v>
      </c>
      <c r="Q70" s="478" t="str">
        <f>IFERROR(VLOOKUP(G70,MODULY_CBA!$B$3:$I$23,6,0),"")</f>
        <v>Inkrement 2</v>
      </c>
      <c r="R70" s="382"/>
      <c r="S70" s="382"/>
      <c r="T70" s="382"/>
      <c r="U70" s="382"/>
      <c r="V70" s="382"/>
      <c r="W70" s="382"/>
      <c r="X70" s="382"/>
      <c r="Y70" s="382"/>
      <c r="Z70" s="382"/>
      <c r="AA70" s="382"/>
      <c r="AB70" s="382"/>
      <c r="AC70" s="382"/>
      <c r="AD70" s="382"/>
      <c r="AE70" s="382"/>
    </row>
    <row r="71" spans="1:31" ht="25.5">
      <c r="A71" s="401">
        <v>69</v>
      </c>
      <c r="B71" s="401" t="s">
        <v>475</v>
      </c>
      <c r="C71" s="530" t="s">
        <v>476</v>
      </c>
      <c r="D71" s="530" t="s">
        <v>545</v>
      </c>
      <c r="E71" s="530"/>
      <c r="F71" s="389" t="s">
        <v>8</v>
      </c>
      <c r="G71" s="389" t="s">
        <v>255</v>
      </c>
      <c r="H71" s="379">
        <v>2</v>
      </c>
      <c r="I71" s="379">
        <v>5</v>
      </c>
      <c r="J71" s="379">
        <f t="shared" si="6"/>
        <v>2</v>
      </c>
      <c r="K71" s="379">
        <f t="shared" si="7"/>
        <v>10</v>
      </c>
      <c r="L71" s="643">
        <f>IFERROR(IF(B71="funkcna poziadavka",VLOOKUP(G71,MODULY_CBA!$B$3:$E$23,4,0)*H71/SUMIFS($H$3:$H$199,$G$3:$G$199,G71,$B$3:$B$199,B71),),)</f>
        <v>0.21323529411764705</v>
      </c>
      <c r="M71" s="379">
        <f>IFERROR(IF(B71="Funkcna poziadavka",VLOOKUP(G71,MODULY_CBA!$B$3:$E$23,3,0),),)</f>
        <v>0.93499999999999994</v>
      </c>
      <c r="N71" s="379">
        <f>IFERROR(IF(B71="funkcna poziadavka",VLOOKUP(G71,MODULY_CBA!$B$3:$E$23,2,0),),)</f>
        <v>1.18</v>
      </c>
      <c r="O71" s="378">
        <f t="shared" si="5"/>
        <v>11.268262499999999</v>
      </c>
      <c r="P71" s="377">
        <f>IFERROR(O71*VLOOKUP(G71,MODULY_CBA!$B$3:$F$23,5,0),)</f>
        <v>338.04787499999998</v>
      </c>
      <c r="Q71" s="478" t="str">
        <f>IFERROR(VLOOKUP(G71,MODULY_CBA!$B$3:$I$23,6,0),"")</f>
        <v>Inkrement 2</v>
      </c>
      <c r="R71" s="382"/>
      <c r="S71" s="382"/>
      <c r="T71" s="382"/>
      <c r="U71" s="382"/>
      <c r="V71" s="382"/>
      <c r="W71" s="382"/>
      <c r="X71" s="382"/>
      <c r="Y71" s="382"/>
      <c r="Z71" s="382"/>
      <c r="AA71" s="382"/>
      <c r="AB71" s="382"/>
      <c r="AC71" s="382"/>
      <c r="AD71" s="382"/>
      <c r="AE71" s="382"/>
    </row>
    <row r="72" spans="1:31" ht="25.5">
      <c r="A72" s="401">
        <v>70</v>
      </c>
      <c r="B72" s="401" t="s">
        <v>475</v>
      </c>
      <c r="C72" s="530" t="s">
        <v>476</v>
      </c>
      <c r="D72" s="530" t="s">
        <v>546</v>
      </c>
      <c r="E72" s="530"/>
      <c r="F72" s="389" t="s">
        <v>8</v>
      </c>
      <c r="G72" s="389" t="s">
        <v>255</v>
      </c>
      <c r="H72" s="379">
        <v>2</v>
      </c>
      <c r="I72" s="379">
        <v>5</v>
      </c>
      <c r="J72" s="379">
        <f t="shared" si="6"/>
        <v>2</v>
      </c>
      <c r="K72" s="379">
        <f t="shared" si="7"/>
        <v>10</v>
      </c>
      <c r="L72" s="643">
        <f>IFERROR(IF(B72="funkcna poziadavka",VLOOKUP(G72,MODULY_CBA!$B$3:$E$23,4,0)*H72/SUMIFS($H$3:$H$199,$G$3:$G$199,G72,$B$3:$B$199,B72),),)</f>
        <v>0.21323529411764705</v>
      </c>
      <c r="M72" s="379">
        <f>IFERROR(IF(B72="Funkcna poziadavka",VLOOKUP(G72,MODULY_CBA!$B$3:$E$23,3,0),),)</f>
        <v>0.93499999999999994</v>
      </c>
      <c r="N72" s="379">
        <f>IFERROR(IF(B72="funkcna poziadavka",VLOOKUP(G72,MODULY_CBA!$B$3:$E$23,2,0),),)</f>
        <v>1.18</v>
      </c>
      <c r="O72" s="378">
        <f t="shared" si="5"/>
        <v>11.268262499999999</v>
      </c>
      <c r="P72" s="377">
        <f>IFERROR(O72*VLOOKUP(G72,MODULY_CBA!$B$3:$F$23,5,0),)</f>
        <v>338.04787499999998</v>
      </c>
      <c r="Q72" s="478" t="str">
        <f>IFERROR(VLOOKUP(G72,MODULY_CBA!$B$3:$I$23,6,0),"")</f>
        <v>Inkrement 2</v>
      </c>
      <c r="R72" s="382"/>
      <c r="S72" s="382"/>
      <c r="T72" s="382"/>
      <c r="U72" s="382"/>
      <c r="V72" s="382"/>
      <c r="W72" s="382"/>
      <c r="X72" s="382"/>
      <c r="Y72" s="382"/>
      <c r="Z72" s="382"/>
      <c r="AA72" s="382"/>
      <c r="AB72" s="382"/>
      <c r="AC72" s="382"/>
      <c r="AD72" s="382"/>
      <c r="AE72" s="382"/>
    </row>
    <row r="73" spans="1:31" ht="25.5">
      <c r="A73" s="401">
        <v>71</v>
      </c>
      <c r="B73" s="401" t="s">
        <v>475</v>
      </c>
      <c r="C73" s="530" t="s">
        <v>476</v>
      </c>
      <c r="D73" s="530" t="s">
        <v>547</v>
      </c>
      <c r="E73" s="530"/>
      <c r="F73" s="389" t="s">
        <v>8</v>
      </c>
      <c r="G73" s="389" t="s">
        <v>255</v>
      </c>
      <c r="H73" s="379">
        <v>2</v>
      </c>
      <c r="I73" s="379">
        <v>5</v>
      </c>
      <c r="J73" s="379">
        <f t="shared" si="6"/>
        <v>2</v>
      </c>
      <c r="K73" s="379">
        <f t="shared" si="7"/>
        <v>10</v>
      </c>
      <c r="L73" s="643">
        <f>IFERROR(IF(B73="funkcna poziadavka",VLOOKUP(G73,MODULY_CBA!$B$3:$E$23,4,0)*H73/SUMIFS($H$3:$H$199,$G$3:$G$199,G73,$B$3:$B$199,B73),),)</f>
        <v>0.21323529411764705</v>
      </c>
      <c r="M73" s="379">
        <f>IFERROR(IF(B73="Funkcna poziadavka",VLOOKUP(G73,MODULY_CBA!$B$3:$E$23,3,0),),)</f>
        <v>0.93499999999999994</v>
      </c>
      <c r="N73" s="379">
        <f>IFERROR(IF(B73="funkcna poziadavka",VLOOKUP(G73,MODULY_CBA!$B$3:$E$23,2,0),),)</f>
        <v>1.18</v>
      </c>
      <c r="O73" s="378">
        <f t="shared" si="5"/>
        <v>11.268262499999999</v>
      </c>
      <c r="P73" s="377">
        <f>IFERROR(O73*VLOOKUP(G73,MODULY_CBA!$B$3:$F$23,5,0),)</f>
        <v>338.04787499999998</v>
      </c>
      <c r="Q73" s="478" t="str">
        <f>IFERROR(VLOOKUP(G73,MODULY_CBA!$B$3:$I$23,6,0),"")</f>
        <v>Inkrement 2</v>
      </c>
      <c r="R73" s="382"/>
      <c r="S73" s="382"/>
      <c r="T73" s="382"/>
      <c r="U73" s="382"/>
      <c r="V73" s="382"/>
      <c r="W73" s="382"/>
      <c r="X73" s="382"/>
      <c r="Y73" s="382"/>
      <c r="Z73" s="382"/>
      <c r="AA73" s="382"/>
      <c r="AB73" s="382"/>
      <c r="AC73" s="382"/>
      <c r="AD73" s="382"/>
      <c r="AE73" s="382"/>
    </row>
    <row r="74" spans="1:31" ht="25.5">
      <c r="A74" s="401">
        <v>72</v>
      </c>
      <c r="B74" s="401" t="s">
        <v>475</v>
      </c>
      <c r="C74" s="530" t="s">
        <v>476</v>
      </c>
      <c r="D74" s="530" t="s">
        <v>548</v>
      </c>
      <c r="E74" s="530"/>
      <c r="F74" s="389" t="s">
        <v>8</v>
      </c>
      <c r="G74" s="389" t="s">
        <v>255</v>
      </c>
      <c r="H74" s="379">
        <v>2</v>
      </c>
      <c r="I74" s="379">
        <v>5</v>
      </c>
      <c r="J74" s="379">
        <f t="shared" si="6"/>
        <v>2</v>
      </c>
      <c r="K74" s="379">
        <f t="shared" si="7"/>
        <v>10</v>
      </c>
      <c r="L74" s="643">
        <f>IFERROR(IF(B74="funkcna poziadavka",VLOOKUP(G74,MODULY_CBA!$B$3:$E$23,4,0)*H74/SUMIFS($H$3:$H$199,$G$3:$G$199,G74,$B$3:$B$199,B74),),)</f>
        <v>0.21323529411764705</v>
      </c>
      <c r="M74" s="379">
        <f>IFERROR(IF(B74="Funkcna poziadavka",VLOOKUP(G74,MODULY_CBA!$B$3:$E$23,3,0),),)</f>
        <v>0.93499999999999994</v>
      </c>
      <c r="N74" s="379">
        <f>IFERROR(IF(B74="funkcna poziadavka",VLOOKUP(G74,MODULY_CBA!$B$3:$E$23,2,0),),)</f>
        <v>1.18</v>
      </c>
      <c r="O74" s="378">
        <f t="shared" si="5"/>
        <v>11.268262499999999</v>
      </c>
      <c r="P74" s="377">
        <f>IFERROR(O74*VLOOKUP(G74,MODULY_CBA!$B$3:$F$23,5,0),)</f>
        <v>338.04787499999998</v>
      </c>
      <c r="Q74" s="478" t="str">
        <f>IFERROR(VLOOKUP(G74,MODULY_CBA!$B$3:$I$23,6,0),"")</f>
        <v>Inkrement 2</v>
      </c>
      <c r="R74" s="382"/>
      <c r="S74" s="382"/>
      <c r="T74" s="382"/>
      <c r="U74" s="382"/>
      <c r="V74" s="382"/>
      <c r="W74" s="382"/>
      <c r="X74" s="382"/>
      <c r="Y74" s="382"/>
      <c r="Z74" s="382"/>
      <c r="AA74" s="382"/>
      <c r="AB74" s="382"/>
      <c r="AC74" s="382"/>
      <c r="AD74" s="382"/>
      <c r="AE74" s="382"/>
    </row>
    <row r="75" spans="1:31" ht="25.5">
      <c r="A75" s="401">
        <v>73</v>
      </c>
      <c r="B75" s="401" t="s">
        <v>475</v>
      </c>
      <c r="C75" s="530" t="s">
        <v>476</v>
      </c>
      <c r="D75" s="530" t="s">
        <v>549</v>
      </c>
      <c r="E75" s="530"/>
      <c r="F75" s="389" t="s">
        <v>8</v>
      </c>
      <c r="G75" s="389" t="s">
        <v>255</v>
      </c>
      <c r="H75" s="379">
        <v>2</v>
      </c>
      <c r="I75" s="379">
        <v>5</v>
      </c>
      <c r="J75" s="379">
        <f t="shared" si="6"/>
        <v>2</v>
      </c>
      <c r="K75" s="379">
        <f t="shared" si="7"/>
        <v>10</v>
      </c>
      <c r="L75" s="643">
        <f>IFERROR(IF(B75="funkcna poziadavka",VLOOKUP(G75,MODULY_CBA!$B$3:$E$23,4,0)*H75/SUMIFS($H$3:$H$199,$G$3:$G$199,G75,$B$3:$B$199,B75),),)</f>
        <v>0.21323529411764705</v>
      </c>
      <c r="M75" s="379">
        <f>IFERROR(IF(B75="Funkcna poziadavka",VLOOKUP(G75,MODULY_CBA!$B$3:$E$23,3,0),),)</f>
        <v>0.93499999999999994</v>
      </c>
      <c r="N75" s="379">
        <f>IFERROR(IF(B75="funkcna poziadavka",VLOOKUP(G75,MODULY_CBA!$B$3:$E$23,2,0),),)</f>
        <v>1.18</v>
      </c>
      <c r="O75" s="378">
        <f t="shared" si="5"/>
        <v>11.268262499999999</v>
      </c>
      <c r="P75" s="377">
        <f>IFERROR(O75*VLOOKUP(G75,MODULY_CBA!$B$3:$F$23,5,0),)</f>
        <v>338.04787499999998</v>
      </c>
      <c r="Q75" s="478" t="str">
        <f>IFERROR(VLOOKUP(G75,MODULY_CBA!$B$3:$I$23,6,0),"")</f>
        <v>Inkrement 2</v>
      </c>
      <c r="R75" s="382"/>
      <c r="S75" s="382"/>
      <c r="T75" s="382"/>
      <c r="U75" s="382"/>
      <c r="V75" s="382"/>
      <c r="W75" s="382"/>
      <c r="X75" s="382"/>
      <c r="Y75" s="382"/>
      <c r="Z75" s="382"/>
      <c r="AA75" s="382"/>
      <c r="AB75" s="382"/>
      <c r="AC75" s="382"/>
      <c r="AD75" s="382"/>
      <c r="AE75" s="382"/>
    </row>
    <row r="76" spans="1:31" ht="25.5">
      <c r="A76" s="401">
        <v>74</v>
      </c>
      <c r="B76" s="401" t="s">
        <v>475</v>
      </c>
      <c r="C76" s="530" t="s">
        <v>476</v>
      </c>
      <c r="D76" s="530" t="s">
        <v>550</v>
      </c>
      <c r="E76" s="530"/>
      <c r="F76" s="389" t="s">
        <v>8</v>
      </c>
      <c r="G76" s="389" t="s">
        <v>255</v>
      </c>
      <c r="H76" s="379">
        <v>2</v>
      </c>
      <c r="I76" s="379">
        <v>5</v>
      </c>
      <c r="J76" s="379">
        <f t="shared" si="6"/>
        <v>2</v>
      </c>
      <c r="K76" s="379">
        <f t="shared" si="7"/>
        <v>10</v>
      </c>
      <c r="L76" s="643">
        <f>IFERROR(IF(B76="funkcna poziadavka",VLOOKUP(G76,MODULY_CBA!$B$3:$E$23,4,0)*H76/SUMIFS($H$3:$H$199,$G$3:$G$199,G76,$B$3:$B$199,B76),),)</f>
        <v>0.21323529411764705</v>
      </c>
      <c r="M76" s="379">
        <f>IFERROR(IF(B76="Funkcna poziadavka",VLOOKUP(G76,MODULY_CBA!$B$3:$E$23,3,0),),)</f>
        <v>0.93499999999999994</v>
      </c>
      <c r="N76" s="379">
        <f>IFERROR(IF(B76="funkcna poziadavka",VLOOKUP(G76,MODULY_CBA!$B$3:$E$23,2,0),),)</f>
        <v>1.18</v>
      </c>
      <c r="O76" s="378">
        <f t="shared" si="5"/>
        <v>11.268262499999999</v>
      </c>
      <c r="P76" s="377">
        <f>IFERROR(O76*VLOOKUP(G76,MODULY_CBA!$B$3:$F$23,5,0),)</f>
        <v>338.04787499999998</v>
      </c>
      <c r="Q76" s="478" t="str">
        <f>IFERROR(VLOOKUP(G76,MODULY_CBA!$B$3:$I$23,6,0),"")</f>
        <v>Inkrement 2</v>
      </c>
      <c r="R76" s="382"/>
      <c r="S76" s="382"/>
      <c r="T76" s="382"/>
      <c r="U76" s="382"/>
      <c r="V76" s="382"/>
      <c r="W76" s="382"/>
      <c r="X76" s="382"/>
      <c r="Y76" s="382"/>
      <c r="Z76" s="382"/>
      <c r="AA76" s="382"/>
      <c r="AB76" s="382"/>
      <c r="AC76" s="382"/>
      <c r="AD76" s="382"/>
      <c r="AE76" s="382"/>
    </row>
    <row r="77" spans="1:31" ht="25.5">
      <c r="A77" s="401">
        <v>75</v>
      </c>
      <c r="B77" s="401" t="s">
        <v>475</v>
      </c>
      <c r="C77" s="530" t="s">
        <v>476</v>
      </c>
      <c r="D77" s="530" t="s">
        <v>551</v>
      </c>
      <c r="E77" s="530"/>
      <c r="F77" s="389" t="s">
        <v>8</v>
      </c>
      <c r="G77" s="389" t="s">
        <v>255</v>
      </c>
      <c r="H77" s="379">
        <v>2</v>
      </c>
      <c r="I77" s="379">
        <v>5</v>
      </c>
      <c r="J77" s="379">
        <f t="shared" si="6"/>
        <v>2</v>
      </c>
      <c r="K77" s="379">
        <f t="shared" si="7"/>
        <v>10</v>
      </c>
      <c r="L77" s="643">
        <f>IFERROR(IF(B77="funkcna poziadavka",VLOOKUP(G77,MODULY_CBA!$B$3:$E$23,4,0)*H77/SUMIFS($H$3:$H$199,$G$3:$G$199,G77,$B$3:$B$199,B77),),)</f>
        <v>0.21323529411764705</v>
      </c>
      <c r="M77" s="379">
        <f>IFERROR(IF(B77="Funkcna poziadavka",VLOOKUP(G77,MODULY_CBA!$B$3:$E$23,3,0),),)</f>
        <v>0.93499999999999994</v>
      </c>
      <c r="N77" s="379">
        <f>IFERROR(IF(B77="funkcna poziadavka",VLOOKUP(G77,MODULY_CBA!$B$3:$E$23,2,0),),)</f>
        <v>1.18</v>
      </c>
      <c r="O77" s="378">
        <f t="shared" si="5"/>
        <v>11.268262499999999</v>
      </c>
      <c r="P77" s="377">
        <f>IFERROR(O77*VLOOKUP(G77,MODULY_CBA!$B$3:$F$23,5,0),)</f>
        <v>338.04787499999998</v>
      </c>
      <c r="Q77" s="478" t="str">
        <f>IFERROR(VLOOKUP(G77,MODULY_CBA!$B$3:$I$23,6,0),"")</f>
        <v>Inkrement 2</v>
      </c>
      <c r="R77" s="382"/>
      <c r="S77" s="382"/>
      <c r="T77" s="382"/>
      <c r="U77" s="382"/>
      <c r="V77" s="382"/>
      <c r="W77" s="382"/>
      <c r="X77" s="382"/>
      <c r="Y77" s="382"/>
      <c r="Z77" s="382"/>
      <c r="AA77" s="382"/>
      <c r="AB77" s="382"/>
      <c r="AC77" s="382"/>
      <c r="AD77" s="382"/>
      <c r="AE77" s="382"/>
    </row>
    <row r="78" spans="1:31" ht="25.5">
      <c r="A78" s="401">
        <v>76</v>
      </c>
      <c r="B78" s="401" t="s">
        <v>475</v>
      </c>
      <c r="C78" s="530" t="s">
        <v>476</v>
      </c>
      <c r="D78" s="530" t="s">
        <v>552</v>
      </c>
      <c r="E78" s="530"/>
      <c r="F78" s="389" t="s">
        <v>8</v>
      </c>
      <c r="G78" s="389" t="s">
        <v>255</v>
      </c>
      <c r="H78" s="379">
        <v>2</v>
      </c>
      <c r="I78" s="379">
        <v>5</v>
      </c>
      <c r="J78" s="379">
        <f t="shared" si="6"/>
        <v>2</v>
      </c>
      <c r="K78" s="379">
        <f t="shared" si="7"/>
        <v>10</v>
      </c>
      <c r="L78" s="643">
        <f>IFERROR(IF(B78="funkcna poziadavka",VLOOKUP(G78,MODULY_CBA!$B$3:$E$23,4,0)*H78/SUMIFS($H$3:$H$199,$G$3:$G$199,G78,$B$3:$B$199,B78),),)</f>
        <v>0.21323529411764705</v>
      </c>
      <c r="M78" s="379">
        <f>IFERROR(IF(B78="Funkcna poziadavka",VLOOKUP(G78,MODULY_CBA!$B$3:$E$23,3,0),),)</f>
        <v>0.93499999999999994</v>
      </c>
      <c r="N78" s="379">
        <f>IFERROR(IF(B78="funkcna poziadavka",VLOOKUP(G78,MODULY_CBA!$B$3:$E$23,2,0),),)</f>
        <v>1.18</v>
      </c>
      <c r="O78" s="378">
        <f t="shared" si="5"/>
        <v>11.268262499999999</v>
      </c>
      <c r="P78" s="377">
        <f>IFERROR(O78*VLOOKUP(G78,MODULY_CBA!$B$3:$F$23,5,0),)</f>
        <v>338.04787499999998</v>
      </c>
      <c r="Q78" s="478" t="str">
        <f>IFERROR(VLOOKUP(G78,MODULY_CBA!$B$3:$I$23,6,0),"")</f>
        <v>Inkrement 2</v>
      </c>
      <c r="R78" s="382"/>
      <c r="S78" s="382"/>
      <c r="T78" s="382"/>
      <c r="U78" s="382"/>
      <c r="V78" s="382"/>
      <c r="W78" s="382"/>
      <c r="X78" s="382"/>
      <c r="Y78" s="382"/>
      <c r="Z78" s="382"/>
      <c r="AA78" s="382"/>
      <c r="AB78" s="382"/>
      <c r="AC78" s="382"/>
      <c r="AD78" s="382"/>
      <c r="AE78" s="382"/>
    </row>
    <row r="79" spans="1:31" ht="25.5">
      <c r="A79" s="401">
        <v>77</v>
      </c>
      <c r="B79" s="401" t="s">
        <v>475</v>
      </c>
      <c r="C79" s="530" t="s">
        <v>476</v>
      </c>
      <c r="D79" s="530" t="s">
        <v>553</v>
      </c>
      <c r="E79" s="530"/>
      <c r="F79" s="389" t="s">
        <v>8</v>
      </c>
      <c r="G79" s="389" t="s">
        <v>255</v>
      </c>
      <c r="H79" s="379">
        <v>2</v>
      </c>
      <c r="I79" s="379">
        <v>5</v>
      </c>
      <c r="J79" s="379">
        <f t="shared" si="6"/>
        <v>2</v>
      </c>
      <c r="K79" s="379">
        <f t="shared" si="7"/>
        <v>10</v>
      </c>
      <c r="L79" s="643">
        <f>IFERROR(IF(B79="funkcna poziadavka",VLOOKUP(G79,MODULY_CBA!$B$3:$E$23,4,0)*H79/SUMIFS($H$3:$H$199,$G$3:$G$199,G79,$B$3:$B$199,B79),),)</f>
        <v>0.21323529411764705</v>
      </c>
      <c r="M79" s="379">
        <f>IFERROR(IF(B79="Funkcna poziadavka",VLOOKUP(G79,MODULY_CBA!$B$3:$E$23,3,0),),)</f>
        <v>0.93499999999999994</v>
      </c>
      <c r="N79" s="379">
        <f>IFERROR(IF(B79="funkcna poziadavka",VLOOKUP(G79,MODULY_CBA!$B$3:$E$23,2,0),),)</f>
        <v>1.18</v>
      </c>
      <c r="O79" s="378">
        <f t="shared" si="5"/>
        <v>11.268262499999999</v>
      </c>
      <c r="P79" s="377">
        <f>IFERROR(O79*VLOOKUP(G79,MODULY_CBA!$B$3:$F$23,5,0),)</f>
        <v>338.04787499999998</v>
      </c>
      <c r="Q79" s="478" t="str">
        <f>IFERROR(VLOOKUP(G79,MODULY_CBA!$B$3:$I$23,6,0),"")</f>
        <v>Inkrement 2</v>
      </c>
      <c r="R79" s="382"/>
      <c r="S79" s="382"/>
      <c r="T79" s="382"/>
      <c r="U79" s="382"/>
      <c r="V79" s="382"/>
      <c r="W79" s="382"/>
      <c r="X79" s="382"/>
      <c r="Y79" s="382"/>
      <c r="Z79" s="382"/>
      <c r="AA79" s="382"/>
      <c r="AB79" s="382"/>
      <c r="AC79" s="382"/>
      <c r="AD79" s="382"/>
      <c r="AE79" s="382"/>
    </row>
    <row r="80" spans="1:31" ht="25.5">
      <c r="A80" s="401">
        <v>78</v>
      </c>
      <c r="B80" s="401" t="s">
        <v>475</v>
      </c>
      <c r="C80" s="530" t="s">
        <v>476</v>
      </c>
      <c r="D80" s="530" t="s">
        <v>554</v>
      </c>
      <c r="E80" s="530"/>
      <c r="F80" s="389" t="s">
        <v>8</v>
      </c>
      <c r="G80" s="389" t="s">
        <v>255</v>
      </c>
      <c r="H80" s="379">
        <v>2</v>
      </c>
      <c r="I80" s="379">
        <v>5</v>
      </c>
      <c r="J80" s="379">
        <f t="shared" si="6"/>
        <v>2</v>
      </c>
      <c r="K80" s="379">
        <f t="shared" si="7"/>
        <v>10</v>
      </c>
      <c r="L80" s="643">
        <f>IFERROR(IF(B80="funkcna poziadavka",VLOOKUP(G80,MODULY_CBA!$B$3:$E$23,4,0)*H80/SUMIFS($H$3:$H$199,$G$3:$G$199,G80,$B$3:$B$199,B80),),)</f>
        <v>0.21323529411764705</v>
      </c>
      <c r="M80" s="379">
        <f>IFERROR(IF(B80="Funkcna poziadavka",VLOOKUP(G80,MODULY_CBA!$B$3:$E$23,3,0),),)</f>
        <v>0.93499999999999994</v>
      </c>
      <c r="N80" s="379">
        <f>IFERROR(IF(B80="funkcna poziadavka",VLOOKUP(G80,MODULY_CBA!$B$3:$E$23,2,0),),)</f>
        <v>1.18</v>
      </c>
      <c r="O80" s="378">
        <f t="shared" si="5"/>
        <v>11.268262499999999</v>
      </c>
      <c r="P80" s="377">
        <f>IFERROR(O80*VLOOKUP(G80,MODULY_CBA!$B$3:$F$23,5,0),)</f>
        <v>338.04787499999998</v>
      </c>
      <c r="Q80" s="478" t="str">
        <f>IFERROR(VLOOKUP(G80,MODULY_CBA!$B$3:$I$23,6,0),"")</f>
        <v>Inkrement 2</v>
      </c>
      <c r="R80" s="382"/>
      <c r="S80" s="382"/>
      <c r="T80" s="382"/>
      <c r="U80" s="382"/>
      <c r="V80" s="382"/>
      <c r="W80" s="382"/>
      <c r="X80" s="382"/>
      <c r="Y80" s="382"/>
      <c r="Z80" s="382"/>
      <c r="AA80" s="382"/>
      <c r="AB80" s="382"/>
      <c r="AC80" s="382"/>
      <c r="AD80" s="382"/>
      <c r="AE80" s="382"/>
    </row>
    <row r="81" spans="1:31" ht="25.5">
      <c r="A81" s="401">
        <v>79</v>
      </c>
      <c r="B81" s="401" t="s">
        <v>475</v>
      </c>
      <c r="C81" s="530" t="s">
        <v>476</v>
      </c>
      <c r="D81" s="530" t="s">
        <v>555</v>
      </c>
      <c r="E81" s="530"/>
      <c r="F81" s="389" t="s">
        <v>8</v>
      </c>
      <c r="G81" s="389" t="s">
        <v>255</v>
      </c>
      <c r="H81" s="379">
        <v>2</v>
      </c>
      <c r="I81" s="379">
        <v>5</v>
      </c>
      <c r="J81" s="379">
        <f t="shared" si="6"/>
        <v>2</v>
      </c>
      <c r="K81" s="379">
        <f t="shared" si="7"/>
        <v>10</v>
      </c>
      <c r="L81" s="643">
        <f>IFERROR(IF(B81="funkcna poziadavka",VLOOKUP(G81,MODULY_CBA!$B$3:$E$23,4,0)*H81/SUMIFS($H$3:$H$199,$G$3:$G$199,G81,$B$3:$B$199,B81),),)</f>
        <v>0.21323529411764705</v>
      </c>
      <c r="M81" s="379">
        <f>IFERROR(IF(B81="Funkcna poziadavka",VLOOKUP(G81,MODULY_CBA!$B$3:$E$23,3,0),),)</f>
        <v>0.93499999999999994</v>
      </c>
      <c r="N81" s="379">
        <f>IFERROR(IF(B81="funkcna poziadavka",VLOOKUP(G81,MODULY_CBA!$B$3:$E$23,2,0),),)</f>
        <v>1.18</v>
      </c>
      <c r="O81" s="378">
        <f t="shared" si="5"/>
        <v>11.268262499999999</v>
      </c>
      <c r="P81" s="377">
        <f>IFERROR(O81*VLOOKUP(G81,MODULY_CBA!$B$3:$F$23,5,0),)</f>
        <v>338.04787499999998</v>
      </c>
      <c r="Q81" s="478" t="str">
        <f>IFERROR(VLOOKUP(G81,MODULY_CBA!$B$3:$I$23,6,0),"")</f>
        <v>Inkrement 2</v>
      </c>
      <c r="R81" s="382"/>
      <c r="S81" s="382"/>
      <c r="T81" s="382"/>
      <c r="U81" s="382"/>
      <c r="V81" s="382"/>
      <c r="W81" s="382"/>
      <c r="X81" s="382"/>
      <c r="Y81" s="382"/>
      <c r="Z81" s="382"/>
      <c r="AA81" s="382"/>
      <c r="AB81" s="382"/>
      <c r="AC81" s="382"/>
      <c r="AD81" s="382"/>
      <c r="AE81" s="382"/>
    </row>
    <row r="82" spans="1:31" ht="25.5">
      <c r="A82" s="401">
        <v>80</v>
      </c>
      <c r="B82" s="401" t="s">
        <v>475</v>
      </c>
      <c r="C82" s="530" t="s">
        <v>476</v>
      </c>
      <c r="D82" s="530" t="s">
        <v>556</v>
      </c>
      <c r="E82" s="530"/>
      <c r="F82" s="389" t="s">
        <v>8</v>
      </c>
      <c r="G82" s="389" t="s">
        <v>255</v>
      </c>
      <c r="H82" s="379">
        <v>2</v>
      </c>
      <c r="I82" s="379">
        <v>5</v>
      </c>
      <c r="J82" s="379">
        <f t="shared" si="6"/>
        <v>2</v>
      </c>
      <c r="K82" s="379">
        <f t="shared" si="7"/>
        <v>10</v>
      </c>
      <c r="L82" s="643">
        <f>IFERROR(IF(B82="funkcna poziadavka",VLOOKUP(G82,MODULY_CBA!$B$3:$E$23,4,0)*H82/SUMIFS($H$3:$H$199,$G$3:$G$199,G82,$B$3:$B$199,B82),),)</f>
        <v>0.21323529411764705</v>
      </c>
      <c r="M82" s="379">
        <f>IFERROR(IF(B82="Funkcna poziadavka",VLOOKUP(G82,MODULY_CBA!$B$3:$E$23,3,0),),)</f>
        <v>0.93499999999999994</v>
      </c>
      <c r="N82" s="379">
        <f>IFERROR(IF(B82="funkcna poziadavka",VLOOKUP(G82,MODULY_CBA!$B$3:$E$23,2,0),),)</f>
        <v>1.18</v>
      </c>
      <c r="O82" s="378">
        <f t="shared" si="5"/>
        <v>11.268262499999999</v>
      </c>
      <c r="P82" s="377">
        <f>IFERROR(O82*VLOOKUP(G82,MODULY_CBA!$B$3:$F$23,5,0),)</f>
        <v>338.04787499999998</v>
      </c>
      <c r="Q82" s="478" t="str">
        <f>IFERROR(VLOOKUP(G82,MODULY_CBA!$B$3:$I$23,6,0),"")</f>
        <v>Inkrement 2</v>
      </c>
      <c r="R82" s="382"/>
      <c r="S82" s="382"/>
      <c r="T82" s="382"/>
      <c r="U82" s="382"/>
      <c r="V82" s="382"/>
      <c r="W82" s="382"/>
      <c r="X82" s="382"/>
      <c r="Y82" s="382"/>
      <c r="Z82" s="382"/>
      <c r="AA82" s="382"/>
      <c r="AB82" s="382"/>
      <c r="AC82" s="382"/>
      <c r="AD82" s="382"/>
      <c r="AE82" s="382"/>
    </row>
    <row r="83" spans="1:31" ht="25.5">
      <c r="A83" s="401">
        <v>81</v>
      </c>
      <c r="B83" s="401" t="s">
        <v>475</v>
      </c>
      <c r="C83" s="530" t="s">
        <v>476</v>
      </c>
      <c r="D83" s="532" t="s">
        <v>557</v>
      </c>
      <c r="E83" s="532"/>
      <c r="F83" s="389" t="s">
        <v>8</v>
      </c>
      <c r="G83" s="389" t="s">
        <v>255</v>
      </c>
      <c r="H83" s="379">
        <v>2</v>
      </c>
      <c r="I83" s="379">
        <v>5</v>
      </c>
      <c r="J83" s="379">
        <f t="shared" si="6"/>
        <v>2</v>
      </c>
      <c r="K83" s="379">
        <f t="shared" si="7"/>
        <v>10</v>
      </c>
      <c r="L83" s="643">
        <f>IFERROR(IF(B83="funkcna poziadavka",VLOOKUP(G83,MODULY_CBA!$B$3:$E$23,4,0)*H83/SUMIFS($H$3:$H$199,$G$3:$G$199,G83,$B$3:$B$199,B83),),)</f>
        <v>0.21323529411764705</v>
      </c>
      <c r="M83" s="379">
        <f>IFERROR(IF(B83="Funkcna poziadavka",VLOOKUP(G83,MODULY_CBA!$B$3:$E$23,3,0),),)</f>
        <v>0.93499999999999994</v>
      </c>
      <c r="N83" s="379">
        <f>IFERROR(IF(B83="funkcna poziadavka",VLOOKUP(G83,MODULY_CBA!$B$3:$E$23,2,0),),)</f>
        <v>1.18</v>
      </c>
      <c r="O83" s="378">
        <f t="shared" si="5"/>
        <v>11.268262499999999</v>
      </c>
      <c r="P83" s="377">
        <f>IFERROR(O83*VLOOKUP(G83,MODULY_CBA!$B$3:$F$23,5,0),)</f>
        <v>338.04787499999998</v>
      </c>
      <c r="Q83" s="478" t="str">
        <f>IFERROR(VLOOKUP(G83,MODULY_CBA!$B$3:$I$23,6,0),"")</f>
        <v>Inkrement 2</v>
      </c>
      <c r="R83" s="386"/>
      <c r="S83" s="386"/>
      <c r="T83" s="390"/>
      <c r="U83" s="390"/>
      <c r="V83" s="390"/>
      <c r="W83" s="390"/>
      <c r="X83" s="390"/>
      <c r="Y83" s="390"/>
      <c r="Z83" s="390"/>
      <c r="AA83" s="390"/>
      <c r="AB83" s="390"/>
      <c r="AC83" s="390"/>
      <c r="AD83" s="390"/>
      <c r="AE83" s="390"/>
    </row>
    <row r="84" spans="1:31" ht="25.5">
      <c r="A84" s="401">
        <v>82</v>
      </c>
      <c r="B84" s="401" t="s">
        <v>475</v>
      </c>
      <c r="C84" s="530" t="s">
        <v>476</v>
      </c>
      <c r="D84" s="532" t="s">
        <v>558</v>
      </c>
      <c r="E84" s="532"/>
      <c r="F84" s="389" t="s">
        <v>8</v>
      </c>
      <c r="G84" s="389" t="s">
        <v>255</v>
      </c>
      <c r="H84" s="379">
        <v>2</v>
      </c>
      <c r="I84" s="379">
        <v>5</v>
      </c>
      <c r="J84" s="379">
        <f t="shared" si="6"/>
        <v>2</v>
      </c>
      <c r="K84" s="379">
        <f t="shared" si="7"/>
        <v>10</v>
      </c>
      <c r="L84" s="643">
        <f>IFERROR(IF(B84="funkcna poziadavka",VLOOKUP(G84,MODULY_CBA!$B$3:$E$23,4,0)*H84/SUMIFS($H$3:$H$199,$G$3:$G$199,G84,$B$3:$B$199,B84),),)</f>
        <v>0.21323529411764705</v>
      </c>
      <c r="M84" s="379">
        <f>IFERROR(IF(B84="Funkcna poziadavka",VLOOKUP(G84,MODULY_CBA!$B$3:$E$23,3,0),),)</f>
        <v>0.93499999999999994</v>
      </c>
      <c r="N84" s="379">
        <f>IFERROR(IF(B84="funkcna poziadavka",VLOOKUP(G84,MODULY_CBA!$B$3:$E$23,2,0),),)</f>
        <v>1.18</v>
      </c>
      <c r="O84" s="378">
        <f t="shared" si="5"/>
        <v>11.268262499999999</v>
      </c>
      <c r="P84" s="377">
        <f>IFERROR(O84*VLOOKUP(G84,MODULY_CBA!$B$3:$F$23,5,0),)</f>
        <v>338.04787499999998</v>
      </c>
      <c r="Q84" s="478" t="str">
        <f>IFERROR(VLOOKUP(G84,MODULY_CBA!$B$3:$I$23,6,0),"")</f>
        <v>Inkrement 2</v>
      </c>
      <c r="R84" s="386"/>
      <c r="S84" s="386"/>
      <c r="T84" s="390"/>
      <c r="U84" s="390"/>
      <c r="V84" s="390"/>
      <c r="W84" s="390"/>
      <c r="X84" s="390"/>
      <c r="Y84" s="390"/>
      <c r="Z84" s="390"/>
      <c r="AA84" s="390"/>
      <c r="AB84" s="390"/>
      <c r="AC84" s="390"/>
      <c r="AD84" s="390"/>
      <c r="AE84" s="390"/>
    </row>
    <row r="85" spans="1:31" ht="25.5">
      <c r="A85" s="401">
        <v>83</v>
      </c>
      <c r="B85" s="401" t="s">
        <v>475</v>
      </c>
      <c r="C85" s="530" t="s">
        <v>476</v>
      </c>
      <c r="D85" s="532" t="s">
        <v>559</v>
      </c>
      <c r="E85" s="532"/>
      <c r="F85" s="389" t="s">
        <v>8</v>
      </c>
      <c r="G85" s="389" t="s">
        <v>255</v>
      </c>
      <c r="H85" s="379">
        <v>2</v>
      </c>
      <c r="I85" s="379">
        <v>5</v>
      </c>
      <c r="J85" s="379">
        <f t="shared" si="6"/>
        <v>2</v>
      </c>
      <c r="K85" s="379">
        <f t="shared" si="7"/>
        <v>10</v>
      </c>
      <c r="L85" s="643">
        <f>IFERROR(IF(B85="funkcna poziadavka",VLOOKUP(G85,MODULY_CBA!$B$3:$E$23,4,0)*H85/SUMIFS($H$3:$H$199,$G$3:$G$199,G85,$B$3:$B$199,B85),),)</f>
        <v>0.21323529411764705</v>
      </c>
      <c r="M85" s="379">
        <f>IFERROR(IF(B85="Funkcna poziadavka",VLOOKUP(G85,MODULY_CBA!$B$3:$E$23,3,0),),)</f>
        <v>0.93499999999999994</v>
      </c>
      <c r="N85" s="379">
        <f>IFERROR(IF(B85="funkcna poziadavka",VLOOKUP(G85,MODULY_CBA!$B$3:$E$23,2,0),),)</f>
        <v>1.18</v>
      </c>
      <c r="O85" s="378">
        <f t="shared" si="5"/>
        <v>11.268262499999999</v>
      </c>
      <c r="P85" s="377">
        <f>IFERROR(O85*VLOOKUP(G85,MODULY_CBA!$B$3:$F$23,5,0),)</f>
        <v>338.04787499999998</v>
      </c>
      <c r="Q85" s="478" t="str">
        <f>IFERROR(VLOOKUP(G85,MODULY_CBA!$B$3:$I$23,6,0),"")</f>
        <v>Inkrement 2</v>
      </c>
      <c r="R85" s="386"/>
      <c r="S85" s="386"/>
      <c r="T85" s="390"/>
      <c r="U85" s="390"/>
      <c r="V85" s="390"/>
      <c r="W85" s="390"/>
      <c r="X85" s="390"/>
      <c r="Y85" s="390"/>
      <c r="Z85" s="390"/>
      <c r="AA85" s="390"/>
      <c r="AB85" s="390"/>
      <c r="AC85" s="390"/>
      <c r="AD85" s="390"/>
      <c r="AE85" s="390"/>
    </row>
    <row r="86" spans="1:31" ht="25.5">
      <c r="A86" s="401">
        <v>84</v>
      </c>
      <c r="B86" s="401" t="s">
        <v>475</v>
      </c>
      <c r="C86" s="530" t="s">
        <v>476</v>
      </c>
      <c r="D86" s="532" t="s">
        <v>560</v>
      </c>
      <c r="E86" s="532"/>
      <c r="F86" s="389" t="s">
        <v>8</v>
      </c>
      <c r="G86" s="389" t="s">
        <v>255</v>
      </c>
      <c r="H86" s="379">
        <v>2</v>
      </c>
      <c r="I86" s="379">
        <v>5</v>
      </c>
      <c r="J86" s="379">
        <f t="shared" si="6"/>
        <v>2</v>
      </c>
      <c r="K86" s="379">
        <f t="shared" si="7"/>
        <v>10</v>
      </c>
      <c r="L86" s="643">
        <f>IFERROR(IF(B86="funkcna poziadavka",VLOOKUP(G86,MODULY_CBA!$B$3:$E$23,4,0)*H86/SUMIFS($H$3:$H$199,$G$3:$G$199,G86,$B$3:$B$199,B86),),)</f>
        <v>0.21323529411764705</v>
      </c>
      <c r="M86" s="379">
        <f>IFERROR(IF(B86="Funkcna poziadavka",VLOOKUP(G86,MODULY_CBA!$B$3:$E$23,3,0),),)</f>
        <v>0.93499999999999994</v>
      </c>
      <c r="N86" s="379">
        <f>IFERROR(IF(B86="funkcna poziadavka",VLOOKUP(G86,MODULY_CBA!$B$3:$E$23,2,0),),)</f>
        <v>1.18</v>
      </c>
      <c r="O86" s="378">
        <f t="shared" si="5"/>
        <v>11.268262499999999</v>
      </c>
      <c r="P86" s="377">
        <f>IFERROR(O86*VLOOKUP(G86,MODULY_CBA!$B$3:$F$23,5,0),)</f>
        <v>338.04787499999998</v>
      </c>
      <c r="Q86" s="478" t="str">
        <f>IFERROR(VLOOKUP(G86,MODULY_CBA!$B$3:$I$23,6,0),"")</f>
        <v>Inkrement 2</v>
      </c>
      <c r="R86" s="386"/>
      <c r="S86" s="386"/>
      <c r="T86" s="390"/>
      <c r="U86" s="390"/>
      <c r="V86" s="390"/>
      <c r="W86" s="390"/>
      <c r="X86" s="390"/>
      <c r="Y86" s="390"/>
      <c r="Z86" s="390"/>
      <c r="AA86" s="390"/>
      <c r="AB86" s="390"/>
      <c r="AC86" s="390"/>
      <c r="AD86" s="390"/>
      <c r="AE86" s="390"/>
    </row>
    <row r="87" spans="1:31" ht="25.5">
      <c r="A87" s="401">
        <v>85</v>
      </c>
      <c r="B87" s="401" t="s">
        <v>475</v>
      </c>
      <c r="C87" s="530" t="s">
        <v>476</v>
      </c>
      <c r="D87" s="532" t="s">
        <v>561</v>
      </c>
      <c r="E87" s="532"/>
      <c r="F87" s="389" t="s">
        <v>8</v>
      </c>
      <c r="G87" s="389" t="s">
        <v>255</v>
      </c>
      <c r="H87" s="379">
        <v>2</v>
      </c>
      <c r="I87" s="379">
        <v>5</v>
      </c>
      <c r="J87" s="379">
        <f t="shared" si="6"/>
        <v>2</v>
      </c>
      <c r="K87" s="379">
        <f t="shared" si="7"/>
        <v>10</v>
      </c>
      <c r="L87" s="643">
        <f>IFERROR(IF(B87="funkcna poziadavka",VLOOKUP(G87,MODULY_CBA!$B$3:$E$23,4,0)*H87/SUMIFS($H$3:$H$199,$G$3:$G$199,G87,$B$3:$B$199,B87),),)</f>
        <v>0.21323529411764705</v>
      </c>
      <c r="M87" s="379">
        <f>IFERROR(IF(B87="Funkcna poziadavka",VLOOKUP(G87,MODULY_CBA!$B$3:$E$23,3,0),),)</f>
        <v>0.93499999999999994</v>
      </c>
      <c r="N87" s="379">
        <f>IFERROR(IF(B87="funkcna poziadavka",VLOOKUP(G87,MODULY_CBA!$B$3:$E$23,2,0),),)</f>
        <v>1.18</v>
      </c>
      <c r="O87" s="378">
        <f t="shared" si="5"/>
        <v>11.268262499999999</v>
      </c>
      <c r="P87" s="377">
        <f>IFERROR(O87*VLOOKUP(G87,MODULY_CBA!$B$3:$F$23,5,0),)</f>
        <v>338.04787499999998</v>
      </c>
      <c r="Q87" s="478" t="str">
        <f>IFERROR(VLOOKUP(G87,MODULY_CBA!$B$3:$I$23,6,0),"")</f>
        <v>Inkrement 2</v>
      </c>
      <c r="R87" s="386"/>
      <c r="S87" s="386"/>
      <c r="T87" s="390"/>
      <c r="U87" s="390"/>
      <c r="V87" s="390"/>
      <c r="W87" s="390"/>
      <c r="X87" s="390"/>
      <c r="Y87" s="390"/>
      <c r="Z87" s="390"/>
      <c r="AA87" s="390"/>
      <c r="AB87" s="390"/>
      <c r="AC87" s="390"/>
      <c r="AD87" s="390"/>
      <c r="AE87" s="390"/>
    </row>
    <row r="88" spans="1:31" ht="25.5">
      <c r="A88" s="401">
        <v>86</v>
      </c>
      <c r="B88" s="401" t="s">
        <v>475</v>
      </c>
      <c r="C88" s="530" t="s">
        <v>476</v>
      </c>
      <c r="D88" s="532" t="s">
        <v>562</v>
      </c>
      <c r="E88" s="532"/>
      <c r="F88" s="389" t="s">
        <v>8</v>
      </c>
      <c r="G88" s="389" t="s">
        <v>255</v>
      </c>
      <c r="H88" s="379">
        <v>2</v>
      </c>
      <c r="I88" s="379">
        <v>5</v>
      </c>
      <c r="J88" s="379">
        <f t="shared" si="6"/>
        <v>2</v>
      </c>
      <c r="K88" s="379">
        <f t="shared" si="7"/>
        <v>10</v>
      </c>
      <c r="L88" s="643">
        <f>IFERROR(IF(B88="funkcna poziadavka",VLOOKUP(G88,MODULY_CBA!$B$3:$E$23,4,0)*H88/SUMIFS($H$3:$H$199,$G$3:$G$199,G88,$B$3:$B$199,B88),),)</f>
        <v>0.21323529411764705</v>
      </c>
      <c r="M88" s="379">
        <f>IFERROR(IF(B88="Funkcna poziadavka",VLOOKUP(G88,MODULY_CBA!$B$3:$E$23,3,0),),)</f>
        <v>0.93499999999999994</v>
      </c>
      <c r="N88" s="379">
        <f>IFERROR(IF(B88="funkcna poziadavka",VLOOKUP(G88,MODULY_CBA!$B$3:$E$23,2,0),),)</f>
        <v>1.18</v>
      </c>
      <c r="O88" s="378">
        <f t="shared" si="5"/>
        <v>11.268262499999999</v>
      </c>
      <c r="P88" s="377">
        <f>IFERROR(O88*VLOOKUP(G88,MODULY_CBA!$B$3:$F$23,5,0),)</f>
        <v>338.04787499999998</v>
      </c>
      <c r="Q88" s="478" t="str">
        <f>IFERROR(VLOOKUP(G88,MODULY_CBA!$B$3:$I$23,6,0),"")</f>
        <v>Inkrement 2</v>
      </c>
      <c r="R88" s="386"/>
      <c r="S88" s="386"/>
      <c r="T88" s="390"/>
      <c r="U88" s="390"/>
      <c r="V88" s="390"/>
      <c r="W88" s="390"/>
      <c r="X88" s="390"/>
      <c r="Y88" s="390"/>
      <c r="Z88" s="390"/>
      <c r="AA88" s="390"/>
      <c r="AB88" s="390"/>
      <c r="AC88" s="390"/>
      <c r="AD88" s="390"/>
      <c r="AE88" s="390"/>
    </row>
    <row r="89" spans="1:31" ht="25.5">
      <c r="A89" s="401">
        <v>87</v>
      </c>
      <c r="B89" s="401" t="s">
        <v>475</v>
      </c>
      <c r="C89" s="530" t="s">
        <v>476</v>
      </c>
      <c r="D89" s="535" t="s">
        <v>563</v>
      </c>
      <c r="E89" s="535"/>
      <c r="F89" s="389" t="s">
        <v>8</v>
      </c>
      <c r="G89" s="389" t="s">
        <v>255</v>
      </c>
      <c r="H89" s="379">
        <v>2</v>
      </c>
      <c r="I89" s="379">
        <v>5</v>
      </c>
      <c r="J89" s="379">
        <f t="shared" si="6"/>
        <v>2</v>
      </c>
      <c r="K89" s="379">
        <f t="shared" si="7"/>
        <v>10</v>
      </c>
      <c r="L89" s="643">
        <f>IFERROR(IF(B89="funkcna poziadavka",VLOOKUP(G89,MODULY_CBA!$B$3:$E$23,4,0)*H89/SUMIFS($H$3:$H$199,$G$3:$G$199,G89,$B$3:$B$199,B89),),)</f>
        <v>0.21323529411764705</v>
      </c>
      <c r="M89" s="379">
        <f>IFERROR(IF(B89="Funkcna poziadavka",VLOOKUP(G89,MODULY_CBA!$B$3:$E$23,3,0),),)</f>
        <v>0.93499999999999994</v>
      </c>
      <c r="N89" s="379">
        <f>IFERROR(IF(B89="funkcna poziadavka",VLOOKUP(G89,MODULY_CBA!$B$3:$E$23,2,0),),)</f>
        <v>1.18</v>
      </c>
      <c r="O89" s="378">
        <f t="shared" si="5"/>
        <v>11.268262499999999</v>
      </c>
      <c r="P89" s="377">
        <f>IFERROR(O89*VLOOKUP(G89,MODULY_CBA!$B$3:$F$23,5,0),)</f>
        <v>338.04787499999998</v>
      </c>
      <c r="Q89" s="478" t="str">
        <f>IFERROR(VLOOKUP(G89,MODULY_CBA!$B$3:$I$23,6,0),"")</f>
        <v>Inkrement 2</v>
      </c>
      <c r="R89" s="385"/>
      <c r="S89" s="385"/>
      <c r="T89" s="385"/>
      <c r="U89" s="385"/>
      <c r="V89" s="385"/>
      <c r="W89" s="385"/>
      <c r="X89" s="385"/>
      <c r="Y89" s="385"/>
      <c r="Z89" s="385"/>
      <c r="AA89" s="385"/>
      <c r="AB89" s="385"/>
      <c r="AC89" s="385"/>
      <c r="AD89" s="385"/>
      <c r="AE89" s="385"/>
    </row>
    <row r="90" spans="1:31" ht="25.5">
      <c r="A90" s="401">
        <v>88</v>
      </c>
      <c r="B90" s="401" t="s">
        <v>475</v>
      </c>
      <c r="C90" s="530" t="s">
        <v>476</v>
      </c>
      <c r="D90" s="535" t="s">
        <v>564</v>
      </c>
      <c r="E90" s="535"/>
      <c r="F90" s="389" t="s">
        <v>8</v>
      </c>
      <c r="G90" s="389" t="s">
        <v>255</v>
      </c>
      <c r="H90" s="379">
        <v>2</v>
      </c>
      <c r="I90" s="379">
        <v>5</v>
      </c>
      <c r="J90" s="379">
        <f t="shared" si="6"/>
        <v>2</v>
      </c>
      <c r="K90" s="379">
        <f t="shared" si="7"/>
        <v>10</v>
      </c>
      <c r="L90" s="643">
        <f>IFERROR(IF(B90="funkcna poziadavka",VLOOKUP(G90,MODULY_CBA!$B$3:$E$23,4,0)*H90/SUMIFS($H$3:$H$199,$G$3:$G$199,G90,$B$3:$B$199,B90),),)</f>
        <v>0.21323529411764705</v>
      </c>
      <c r="M90" s="379">
        <f>IFERROR(IF(B90="Funkcna poziadavka",VLOOKUP(G90,MODULY_CBA!$B$3:$E$23,3,0),),)</f>
        <v>0.93499999999999994</v>
      </c>
      <c r="N90" s="379">
        <f>IFERROR(IF(B90="funkcna poziadavka",VLOOKUP(G90,MODULY_CBA!$B$3:$E$23,2,0),),)</f>
        <v>1.18</v>
      </c>
      <c r="O90" s="378">
        <f t="shared" si="5"/>
        <v>11.268262499999999</v>
      </c>
      <c r="P90" s="377">
        <f>IFERROR(O90*VLOOKUP(G90,MODULY_CBA!$B$3:$F$23,5,0),)</f>
        <v>338.04787499999998</v>
      </c>
      <c r="Q90" s="478" t="str">
        <f>IFERROR(VLOOKUP(G90,MODULY_CBA!$B$3:$I$23,6,0),"")</f>
        <v>Inkrement 2</v>
      </c>
      <c r="R90" s="385"/>
      <c r="S90" s="385"/>
      <c r="T90" s="385"/>
      <c r="U90" s="385"/>
      <c r="V90" s="385"/>
      <c r="W90" s="385"/>
      <c r="X90" s="385"/>
      <c r="Y90" s="385"/>
      <c r="Z90" s="385"/>
      <c r="AA90" s="385"/>
      <c r="AB90" s="385"/>
      <c r="AC90" s="385"/>
      <c r="AD90" s="385"/>
      <c r="AE90" s="385"/>
    </row>
    <row r="91" spans="1:31" ht="25.5">
      <c r="A91" s="401">
        <v>89</v>
      </c>
      <c r="B91" s="401" t="s">
        <v>475</v>
      </c>
      <c r="C91" s="530" t="s">
        <v>476</v>
      </c>
      <c r="D91" s="532" t="s">
        <v>565</v>
      </c>
      <c r="E91" s="532"/>
      <c r="F91" s="389" t="s">
        <v>8</v>
      </c>
      <c r="G91" s="389" t="s">
        <v>255</v>
      </c>
      <c r="H91" s="379">
        <v>2</v>
      </c>
      <c r="I91" s="379">
        <v>5</v>
      </c>
      <c r="J91" s="379">
        <f t="shared" si="6"/>
        <v>2</v>
      </c>
      <c r="K91" s="379">
        <f t="shared" si="7"/>
        <v>10</v>
      </c>
      <c r="L91" s="643">
        <f>IFERROR(IF(B91="funkcna poziadavka",VLOOKUP(G91,MODULY_CBA!$B$3:$E$23,4,0)*H91/SUMIFS($H$3:$H$199,$G$3:$G$199,G91,$B$3:$B$199,B91),),)</f>
        <v>0.21323529411764705</v>
      </c>
      <c r="M91" s="379">
        <f>IFERROR(IF(B91="Funkcna poziadavka",VLOOKUP(G91,MODULY_CBA!$B$3:$E$23,3,0),),)</f>
        <v>0.93499999999999994</v>
      </c>
      <c r="N91" s="379">
        <f>IFERROR(IF(B91="funkcna poziadavka",VLOOKUP(G91,MODULY_CBA!$B$3:$E$23,2,0),),)</f>
        <v>1.18</v>
      </c>
      <c r="O91" s="378">
        <f t="shared" si="5"/>
        <v>11.268262499999999</v>
      </c>
      <c r="P91" s="377">
        <f>IFERROR(O91*VLOOKUP(G91,MODULY_CBA!$B$3:$F$23,5,0),)</f>
        <v>338.04787499999998</v>
      </c>
      <c r="Q91" s="478" t="str">
        <f>IFERROR(VLOOKUP(G91,MODULY_CBA!$B$3:$I$23,6,0),"")</f>
        <v>Inkrement 2</v>
      </c>
      <c r="R91" s="385"/>
      <c r="S91" s="385"/>
      <c r="T91" s="385"/>
      <c r="U91" s="385"/>
      <c r="V91" s="385"/>
      <c r="W91" s="385"/>
      <c r="X91" s="385"/>
      <c r="Y91" s="385"/>
      <c r="Z91" s="385"/>
      <c r="AA91" s="385"/>
      <c r="AB91" s="385"/>
      <c r="AC91" s="385"/>
      <c r="AD91" s="385"/>
      <c r="AE91" s="385"/>
    </row>
    <row r="92" spans="1:31" ht="25.5">
      <c r="A92" s="401">
        <v>90</v>
      </c>
      <c r="B92" s="401" t="s">
        <v>475</v>
      </c>
      <c r="C92" s="530" t="s">
        <v>476</v>
      </c>
      <c r="D92" s="532" t="s">
        <v>566</v>
      </c>
      <c r="E92" s="532"/>
      <c r="F92" s="389" t="s">
        <v>8</v>
      </c>
      <c r="G92" s="389" t="s">
        <v>255</v>
      </c>
      <c r="H92" s="379">
        <v>2</v>
      </c>
      <c r="I92" s="379">
        <v>5</v>
      </c>
      <c r="J92" s="379">
        <f t="shared" si="6"/>
        <v>2</v>
      </c>
      <c r="K92" s="379">
        <f t="shared" si="7"/>
        <v>10</v>
      </c>
      <c r="L92" s="643">
        <f>IFERROR(IF(B92="funkcna poziadavka",VLOOKUP(G92,MODULY_CBA!$B$3:$E$23,4,0)*H92/SUMIFS($H$3:$H$199,$G$3:$G$199,G92,$B$3:$B$199,B92),),)</f>
        <v>0.21323529411764705</v>
      </c>
      <c r="M92" s="379">
        <f>IFERROR(IF(B92="Funkcna poziadavka",VLOOKUP(G92,MODULY_CBA!$B$3:$E$23,3,0),),)</f>
        <v>0.93499999999999994</v>
      </c>
      <c r="N92" s="379">
        <f>IFERROR(IF(B92="funkcna poziadavka",VLOOKUP(G92,MODULY_CBA!$B$3:$E$23,2,0),),)</f>
        <v>1.18</v>
      </c>
      <c r="O92" s="378">
        <f t="shared" si="5"/>
        <v>11.268262499999999</v>
      </c>
      <c r="P92" s="377">
        <f>IFERROR(O92*VLOOKUP(G92,MODULY_CBA!$B$3:$F$23,5,0),)</f>
        <v>338.04787499999998</v>
      </c>
      <c r="Q92" s="478" t="str">
        <f>IFERROR(VLOOKUP(G92,MODULY_CBA!$B$3:$I$23,6,0),"")</f>
        <v>Inkrement 2</v>
      </c>
      <c r="R92" s="385"/>
      <c r="S92" s="385"/>
      <c r="T92" s="385"/>
      <c r="U92" s="385"/>
      <c r="V92" s="385"/>
      <c r="W92" s="385"/>
      <c r="X92" s="385"/>
      <c r="Y92" s="385"/>
      <c r="Z92" s="385"/>
      <c r="AA92" s="385"/>
      <c r="AB92" s="385"/>
      <c r="AC92" s="385"/>
      <c r="AD92" s="385"/>
      <c r="AE92" s="385"/>
    </row>
    <row r="93" spans="1:31" ht="25.5">
      <c r="A93" s="401">
        <v>91</v>
      </c>
      <c r="B93" s="401" t="s">
        <v>475</v>
      </c>
      <c r="C93" s="530" t="s">
        <v>476</v>
      </c>
      <c r="D93" s="532" t="s">
        <v>567</v>
      </c>
      <c r="E93" s="532"/>
      <c r="F93" s="389" t="s">
        <v>8</v>
      </c>
      <c r="G93" s="389" t="s">
        <v>255</v>
      </c>
      <c r="H93" s="379">
        <v>2</v>
      </c>
      <c r="I93" s="379">
        <v>5</v>
      </c>
      <c r="J93" s="379">
        <f t="shared" si="6"/>
        <v>2</v>
      </c>
      <c r="K93" s="379">
        <f t="shared" si="7"/>
        <v>10</v>
      </c>
      <c r="L93" s="643">
        <f>IFERROR(IF(B93="funkcna poziadavka",VLOOKUP(G93,MODULY_CBA!$B$3:$E$23,4,0)*H93/SUMIFS($H$3:$H$199,$G$3:$G$199,G93,$B$3:$B$199,B93),),)</f>
        <v>0.21323529411764705</v>
      </c>
      <c r="M93" s="379">
        <f>IFERROR(IF(B93="Funkcna poziadavka",VLOOKUP(G93,MODULY_CBA!$B$3:$E$23,3,0),),)</f>
        <v>0.93499999999999994</v>
      </c>
      <c r="N93" s="379">
        <f>IFERROR(IF(B93="funkcna poziadavka",VLOOKUP(G93,MODULY_CBA!$B$3:$E$23,2,0),),)</f>
        <v>1.18</v>
      </c>
      <c r="O93" s="378">
        <f t="shared" si="5"/>
        <v>11.268262499999999</v>
      </c>
      <c r="P93" s="377">
        <f>IFERROR(O93*VLOOKUP(G93,MODULY_CBA!$B$3:$F$23,5,0),)</f>
        <v>338.04787499999998</v>
      </c>
      <c r="Q93" s="478" t="str">
        <f>IFERROR(VLOOKUP(G93,MODULY_CBA!$B$3:$I$23,6,0),"")</f>
        <v>Inkrement 2</v>
      </c>
      <c r="R93" s="385"/>
      <c r="S93" s="385"/>
      <c r="T93" s="385"/>
      <c r="U93" s="385"/>
      <c r="V93" s="385"/>
      <c r="W93" s="385"/>
      <c r="X93" s="385"/>
      <c r="Y93" s="385"/>
      <c r="Z93" s="385"/>
      <c r="AA93" s="385"/>
      <c r="AB93" s="385"/>
      <c r="AC93" s="385"/>
      <c r="AD93" s="385"/>
      <c r="AE93" s="385"/>
    </row>
    <row r="94" spans="1:31" ht="25.5">
      <c r="A94" s="401">
        <v>92</v>
      </c>
      <c r="B94" s="401" t="s">
        <v>475</v>
      </c>
      <c r="C94" s="530" t="s">
        <v>476</v>
      </c>
      <c r="D94" s="532" t="s">
        <v>568</v>
      </c>
      <c r="E94" s="532"/>
      <c r="F94" s="389" t="s">
        <v>8</v>
      </c>
      <c r="G94" s="389" t="s">
        <v>255</v>
      </c>
      <c r="H94" s="379">
        <v>2</v>
      </c>
      <c r="I94" s="379">
        <v>5</v>
      </c>
      <c r="J94" s="379">
        <f t="shared" si="6"/>
        <v>2</v>
      </c>
      <c r="K94" s="379">
        <f t="shared" si="7"/>
        <v>10</v>
      </c>
      <c r="L94" s="643">
        <f>IFERROR(IF(B94="funkcna poziadavka",VLOOKUP(G94,MODULY_CBA!$B$3:$E$23,4,0)*H94/SUMIFS($H$3:$H$199,$G$3:$G$199,G94,$B$3:$B$199,B94),),)</f>
        <v>0.21323529411764705</v>
      </c>
      <c r="M94" s="379">
        <f>IFERROR(IF(B94="Funkcna poziadavka",VLOOKUP(G94,MODULY_CBA!$B$3:$E$23,3,0),),)</f>
        <v>0.93499999999999994</v>
      </c>
      <c r="N94" s="379">
        <f>IFERROR(IF(B94="funkcna poziadavka",VLOOKUP(G94,MODULY_CBA!$B$3:$E$23,2,0),),)</f>
        <v>1.18</v>
      </c>
      <c r="O94" s="378">
        <f t="shared" si="5"/>
        <v>11.268262499999999</v>
      </c>
      <c r="P94" s="377">
        <f>IFERROR(O94*VLOOKUP(G94,MODULY_CBA!$B$3:$F$23,5,0),)</f>
        <v>338.04787499999998</v>
      </c>
      <c r="Q94" s="478" t="str">
        <f>IFERROR(VLOOKUP(G94,MODULY_CBA!$B$3:$I$23,6,0),"")</f>
        <v>Inkrement 2</v>
      </c>
      <c r="R94" s="385"/>
      <c r="S94" s="385"/>
      <c r="T94" s="385"/>
      <c r="U94" s="385"/>
      <c r="V94" s="385"/>
      <c r="W94" s="385"/>
      <c r="X94" s="385"/>
      <c r="Y94" s="385"/>
      <c r="Z94" s="385"/>
      <c r="AA94" s="385"/>
      <c r="AB94" s="385"/>
      <c r="AC94" s="385"/>
      <c r="AD94" s="385"/>
      <c r="AE94" s="385"/>
    </row>
    <row r="95" spans="1:31" ht="25.5">
      <c r="A95" s="401">
        <v>93</v>
      </c>
      <c r="B95" s="401" t="s">
        <v>475</v>
      </c>
      <c r="C95" s="530" t="s">
        <v>476</v>
      </c>
      <c r="D95" s="532" t="s">
        <v>569</v>
      </c>
      <c r="E95" s="532"/>
      <c r="F95" s="389" t="s">
        <v>8</v>
      </c>
      <c r="G95" s="389" t="s">
        <v>255</v>
      </c>
      <c r="H95" s="379">
        <v>2</v>
      </c>
      <c r="I95" s="379">
        <v>5</v>
      </c>
      <c r="J95" s="379">
        <f t="shared" si="6"/>
        <v>2</v>
      </c>
      <c r="K95" s="379">
        <f t="shared" si="7"/>
        <v>10</v>
      </c>
      <c r="L95" s="643">
        <f>IFERROR(IF(B95="funkcna poziadavka",VLOOKUP(G95,MODULY_CBA!$B$3:$E$23,4,0)*H95/SUMIFS($H$3:$H$199,$G$3:$G$199,G95,$B$3:$B$199,B95),),)</f>
        <v>0.21323529411764705</v>
      </c>
      <c r="M95" s="379">
        <f>IFERROR(IF(B95="Funkcna poziadavka",VLOOKUP(G95,MODULY_CBA!$B$3:$E$23,3,0),),)</f>
        <v>0.93499999999999994</v>
      </c>
      <c r="N95" s="379">
        <f>IFERROR(IF(B95="funkcna poziadavka",VLOOKUP(G95,MODULY_CBA!$B$3:$E$23,2,0),),)</f>
        <v>1.18</v>
      </c>
      <c r="O95" s="378">
        <f t="shared" si="5"/>
        <v>11.268262499999999</v>
      </c>
      <c r="P95" s="377">
        <f>IFERROR(O95*VLOOKUP(G95,MODULY_CBA!$B$3:$F$23,5,0),)</f>
        <v>338.04787499999998</v>
      </c>
      <c r="Q95" s="478" t="str">
        <f>IFERROR(VLOOKUP(G95,MODULY_CBA!$B$3:$I$23,6,0),"")</f>
        <v>Inkrement 2</v>
      </c>
      <c r="R95" s="385"/>
      <c r="S95" s="385"/>
      <c r="T95" s="385"/>
      <c r="U95" s="385"/>
      <c r="V95" s="385"/>
      <c r="W95" s="385"/>
      <c r="X95" s="385"/>
      <c r="Y95" s="385"/>
      <c r="Z95" s="385"/>
      <c r="AA95" s="385"/>
      <c r="AB95" s="385"/>
      <c r="AC95" s="385"/>
      <c r="AD95" s="385"/>
      <c r="AE95" s="385"/>
    </row>
    <row r="96" spans="1:31" ht="25.5">
      <c r="A96" s="401">
        <v>94</v>
      </c>
      <c r="B96" s="401" t="s">
        <v>475</v>
      </c>
      <c r="C96" s="530" t="s">
        <v>476</v>
      </c>
      <c r="D96" s="532" t="s">
        <v>570</v>
      </c>
      <c r="E96" s="532"/>
      <c r="F96" s="389" t="s">
        <v>8</v>
      </c>
      <c r="G96" s="389" t="s">
        <v>255</v>
      </c>
      <c r="H96" s="379">
        <v>2</v>
      </c>
      <c r="I96" s="379">
        <v>5</v>
      </c>
      <c r="J96" s="379">
        <f t="shared" si="6"/>
        <v>2</v>
      </c>
      <c r="K96" s="379">
        <f t="shared" si="7"/>
        <v>10</v>
      </c>
      <c r="L96" s="643">
        <f>IFERROR(IF(B96="funkcna poziadavka",VLOOKUP(G96,MODULY_CBA!$B$3:$E$23,4,0)*H96/SUMIFS($H$3:$H$199,$G$3:$G$199,G96,$B$3:$B$199,B96),),)</f>
        <v>0.21323529411764705</v>
      </c>
      <c r="M96" s="379">
        <f>IFERROR(IF(B96="Funkcna poziadavka",VLOOKUP(G96,MODULY_CBA!$B$3:$E$23,3,0),),)</f>
        <v>0.93499999999999994</v>
      </c>
      <c r="N96" s="379">
        <f>IFERROR(IF(B96="funkcna poziadavka",VLOOKUP(G96,MODULY_CBA!$B$3:$E$23,2,0),),)</f>
        <v>1.18</v>
      </c>
      <c r="O96" s="378">
        <f t="shared" si="5"/>
        <v>11.268262499999999</v>
      </c>
      <c r="P96" s="377">
        <f>IFERROR(O96*VLOOKUP(G96,MODULY_CBA!$B$3:$F$23,5,0),)</f>
        <v>338.04787499999998</v>
      </c>
      <c r="Q96" s="478" t="str">
        <f>IFERROR(VLOOKUP(G96,MODULY_CBA!$B$3:$I$23,6,0),"")</f>
        <v>Inkrement 2</v>
      </c>
      <c r="R96" s="385"/>
      <c r="S96" s="385"/>
      <c r="T96" s="385"/>
      <c r="U96" s="385"/>
      <c r="V96" s="385"/>
      <c r="W96" s="385"/>
      <c r="X96" s="385"/>
      <c r="Y96" s="385"/>
      <c r="Z96" s="385"/>
      <c r="AA96" s="385"/>
      <c r="AB96" s="385"/>
      <c r="AC96" s="385"/>
      <c r="AD96" s="385"/>
      <c r="AE96" s="385"/>
    </row>
    <row r="97" spans="1:31" ht="25.5">
      <c r="A97" s="401">
        <v>95</v>
      </c>
      <c r="B97" s="401" t="s">
        <v>475</v>
      </c>
      <c r="C97" s="530" t="s">
        <v>476</v>
      </c>
      <c r="D97" s="389" t="s">
        <v>571</v>
      </c>
      <c r="E97" s="532"/>
      <c r="F97" s="389" t="s">
        <v>8</v>
      </c>
      <c r="G97" s="389" t="s">
        <v>255</v>
      </c>
      <c r="H97" s="379">
        <v>2</v>
      </c>
      <c r="I97" s="379">
        <v>5</v>
      </c>
      <c r="J97" s="379">
        <f t="shared" si="6"/>
        <v>2</v>
      </c>
      <c r="K97" s="379">
        <f t="shared" si="7"/>
        <v>10</v>
      </c>
      <c r="L97" s="643">
        <f>IFERROR(IF(B97="funkcna poziadavka",VLOOKUP(G97,MODULY_CBA!$B$3:$E$23,4,0)*H97/SUMIFS($H$3:$H$199,$G$3:$G$199,G97,$B$3:$B$199,B97),),)</f>
        <v>0.21323529411764705</v>
      </c>
      <c r="M97" s="379">
        <f>IFERROR(IF(B97="Funkcna poziadavka",VLOOKUP(G97,MODULY_CBA!$B$3:$E$23,3,0),),)</f>
        <v>0.93499999999999994</v>
      </c>
      <c r="N97" s="379">
        <f>IFERROR(IF(B97="funkcna poziadavka",VLOOKUP(G97,MODULY_CBA!$B$3:$E$23,2,0),),)</f>
        <v>1.18</v>
      </c>
      <c r="O97" s="378">
        <f t="shared" si="5"/>
        <v>11.268262499999999</v>
      </c>
      <c r="P97" s="377">
        <f>IFERROR(O97*VLOOKUP(G97,MODULY_CBA!$B$3:$F$23,5,0),)</f>
        <v>338.04787499999998</v>
      </c>
      <c r="Q97" s="478" t="str">
        <f>IFERROR(VLOOKUP(G97,MODULY_CBA!$B$3:$I$23,6,0),"")</f>
        <v>Inkrement 2</v>
      </c>
      <c r="R97" s="384"/>
      <c r="S97" s="384"/>
      <c r="T97" s="384"/>
      <c r="U97" s="384"/>
      <c r="V97" s="388"/>
      <c r="W97" s="387"/>
      <c r="X97" s="387"/>
      <c r="Y97" s="384"/>
      <c r="Z97" s="384"/>
      <c r="AA97" s="384"/>
      <c r="AB97" s="384"/>
      <c r="AC97" s="384"/>
      <c r="AD97" s="384"/>
      <c r="AE97" s="384"/>
    </row>
    <row r="98" spans="1:31" ht="25.5">
      <c r="A98" s="401">
        <v>96</v>
      </c>
      <c r="B98" s="401" t="s">
        <v>475</v>
      </c>
      <c r="C98" s="530" t="s">
        <v>476</v>
      </c>
      <c r="D98" s="532" t="s">
        <v>572</v>
      </c>
      <c r="E98" s="532"/>
      <c r="F98" s="389" t="s">
        <v>8</v>
      </c>
      <c r="G98" s="389" t="s">
        <v>255</v>
      </c>
      <c r="H98" s="379">
        <v>2</v>
      </c>
      <c r="I98" s="379">
        <v>5</v>
      </c>
      <c r="J98" s="379">
        <f t="shared" si="6"/>
        <v>2</v>
      </c>
      <c r="K98" s="379">
        <f t="shared" si="7"/>
        <v>10</v>
      </c>
      <c r="L98" s="643">
        <f>IFERROR(IF(B98="funkcna poziadavka",VLOOKUP(G98,MODULY_CBA!$B$3:$E$23,4,0)*H98/SUMIFS($H$3:$H$199,$G$3:$G$199,G98,$B$3:$B$199,B98),),)</f>
        <v>0.21323529411764705</v>
      </c>
      <c r="M98" s="379">
        <f>IFERROR(IF(B98="Funkcna poziadavka",VLOOKUP(G98,MODULY_CBA!$B$3:$E$23,3,0),),)</f>
        <v>0.93499999999999994</v>
      </c>
      <c r="N98" s="379">
        <f>IFERROR(IF(B98="funkcna poziadavka",VLOOKUP(G98,MODULY_CBA!$B$3:$E$23,2,0),),)</f>
        <v>1.18</v>
      </c>
      <c r="O98" s="378">
        <f t="shared" si="5"/>
        <v>11.268262499999999</v>
      </c>
      <c r="P98" s="377">
        <f>IFERROR(O98*VLOOKUP(G98,MODULY_CBA!$B$3:$F$23,5,0),)</f>
        <v>338.04787499999998</v>
      </c>
      <c r="Q98" s="478" t="str">
        <f>IFERROR(VLOOKUP(G98,MODULY_CBA!$B$3:$I$23,6,0),"")</f>
        <v>Inkrement 2</v>
      </c>
      <c r="R98" s="385"/>
      <c r="S98" s="385"/>
      <c r="T98" s="385"/>
      <c r="U98" s="385"/>
      <c r="V98" s="385"/>
      <c r="W98" s="385"/>
      <c r="X98" s="385"/>
      <c r="Y98" s="385"/>
      <c r="Z98" s="385"/>
      <c r="AA98" s="385"/>
      <c r="AB98" s="385"/>
      <c r="AC98" s="385"/>
      <c r="AD98" s="385"/>
      <c r="AE98" s="385"/>
    </row>
    <row r="99" spans="1:31" ht="25.5">
      <c r="A99" s="401">
        <v>97</v>
      </c>
      <c r="B99" s="401" t="s">
        <v>475</v>
      </c>
      <c r="C99" s="530" t="s">
        <v>476</v>
      </c>
      <c r="D99" s="532" t="s">
        <v>573</v>
      </c>
      <c r="E99" s="532"/>
      <c r="F99" s="389" t="s">
        <v>8</v>
      </c>
      <c r="G99" s="389" t="s">
        <v>255</v>
      </c>
      <c r="H99" s="379">
        <v>2</v>
      </c>
      <c r="I99" s="379">
        <v>5</v>
      </c>
      <c r="J99" s="379">
        <f t="shared" si="6"/>
        <v>2</v>
      </c>
      <c r="K99" s="379">
        <f t="shared" si="7"/>
        <v>10</v>
      </c>
      <c r="L99" s="643">
        <f>IFERROR(IF(B99="funkcna poziadavka",VLOOKUP(G99,MODULY_CBA!$B$3:$E$23,4,0)*H99/SUMIFS($H$3:$H$199,$G$3:$G$199,G99,$B$3:$B$199,B99),),)</f>
        <v>0.21323529411764705</v>
      </c>
      <c r="M99" s="379">
        <f>IFERROR(IF(B99="Funkcna poziadavka",VLOOKUP(G99,MODULY_CBA!$B$3:$E$23,3,0),),)</f>
        <v>0.93499999999999994</v>
      </c>
      <c r="N99" s="379">
        <f>IFERROR(IF(B99="funkcna poziadavka",VLOOKUP(G99,MODULY_CBA!$B$3:$E$23,2,0),),)</f>
        <v>1.18</v>
      </c>
      <c r="O99" s="378">
        <f t="shared" ref="O99:O130" si="8">(K99+L99)*M99*N99</f>
        <v>11.268262499999999</v>
      </c>
      <c r="P99" s="377">
        <f>IFERROR(O99*VLOOKUP(G99,MODULY_CBA!$B$3:$F$23,5,0),)</f>
        <v>338.04787499999998</v>
      </c>
      <c r="Q99" s="478" t="str">
        <f>IFERROR(VLOOKUP(G99,MODULY_CBA!$B$3:$I$23,6,0),"")</f>
        <v>Inkrement 2</v>
      </c>
      <c r="R99" s="385"/>
      <c r="S99" s="385"/>
      <c r="T99" s="385"/>
      <c r="U99" s="385"/>
      <c r="V99" s="385"/>
      <c r="W99" s="385"/>
      <c r="X99" s="385"/>
      <c r="Y99" s="385"/>
      <c r="Z99" s="385"/>
      <c r="AA99" s="385"/>
      <c r="AB99" s="385"/>
      <c r="AC99" s="385"/>
      <c r="AD99" s="385"/>
      <c r="AE99" s="385"/>
    </row>
    <row r="100" spans="1:31" ht="25.5">
      <c r="A100" s="401">
        <v>98</v>
      </c>
      <c r="B100" s="401" t="s">
        <v>475</v>
      </c>
      <c r="C100" s="530" t="s">
        <v>476</v>
      </c>
      <c r="D100" s="532" t="s">
        <v>574</v>
      </c>
      <c r="E100" s="531"/>
      <c r="F100" s="389" t="s">
        <v>8</v>
      </c>
      <c r="G100" s="389" t="s">
        <v>255</v>
      </c>
      <c r="H100" s="379">
        <v>2</v>
      </c>
      <c r="I100" s="379">
        <v>5</v>
      </c>
      <c r="J100" s="379">
        <f t="shared" si="6"/>
        <v>2</v>
      </c>
      <c r="K100" s="379">
        <f t="shared" si="7"/>
        <v>10</v>
      </c>
      <c r="L100" s="643">
        <f>IFERROR(IF(B100="funkcna poziadavka",VLOOKUP(G100,MODULY_CBA!$B$3:$E$23,4,0)*H100/SUMIFS($H$3:$H$199,$G$3:$G$199,G100,$B$3:$B$199,B100),),)</f>
        <v>0.21323529411764705</v>
      </c>
      <c r="M100" s="379">
        <f>IFERROR(IF(B100="Funkcna poziadavka",VLOOKUP(G100,MODULY_CBA!$B$3:$E$23,3,0),),)</f>
        <v>0.93499999999999994</v>
      </c>
      <c r="N100" s="379">
        <f>IFERROR(IF(B100="funkcna poziadavka",VLOOKUP(G100,MODULY_CBA!$B$3:$E$23,2,0),),)</f>
        <v>1.18</v>
      </c>
      <c r="O100" s="378">
        <f t="shared" si="8"/>
        <v>11.268262499999999</v>
      </c>
      <c r="P100" s="377">
        <f>IFERROR(O100*VLOOKUP(G100,MODULY_CBA!$B$3:$F$23,5,0),)</f>
        <v>338.04787499999998</v>
      </c>
      <c r="Q100" s="478" t="str">
        <f>IFERROR(VLOOKUP(G100,MODULY_CBA!$B$3:$I$23,6,0),"")</f>
        <v>Inkrement 2</v>
      </c>
      <c r="R100" s="385"/>
      <c r="S100" s="385"/>
      <c r="T100" s="385"/>
      <c r="U100" s="385"/>
      <c r="V100" s="385"/>
      <c r="W100" s="385"/>
      <c r="X100" s="385"/>
      <c r="Y100" s="385"/>
      <c r="Z100" s="385"/>
      <c r="AA100" s="385"/>
      <c r="AB100" s="385"/>
      <c r="AC100" s="385"/>
      <c r="AD100" s="385"/>
      <c r="AE100" s="385"/>
    </row>
    <row r="101" spans="1:31" ht="25.5">
      <c r="A101" s="401">
        <v>99</v>
      </c>
      <c r="B101" s="401" t="s">
        <v>475</v>
      </c>
      <c r="C101" s="530" t="s">
        <v>476</v>
      </c>
      <c r="D101" s="532" t="s">
        <v>575</v>
      </c>
      <c r="E101" s="532"/>
      <c r="F101" s="389" t="s">
        <v>8</v>
      </c>
      <c r="G101" s="389" t="s">
        <v>255</v>
      </c>
      <c r="H101" s="379">
        <v>2</v>
      </c>
      <c r="I101" s="379">
        <v>5</v>
      </c>
      <c r="J101" s="379">
        <f t="shared" si="6"/>
        <v>2</v>
      </c>
      <c r="K101" s="379">
        <f t="shared" si="7"/>
        <v>10</v>
      </c>
      <c r="L101" s="643">
        <f>IFERROR(IF(B101="funkcna poziadavka",VLOOKUP(G101,MODULY_CBA!$B$3:$E$23,4,0)*H101/SUMIFS($H$3:$H$199,$G$3:$G$199,G101,$B$3:$B$199,B101),),)</f>
        <v>0.21323529411764705</v>
      </c>
      <c r="M101" s="379">
        <f>IFERROR(IF(B101="Funkcna poziadavka",VLOOKUP(G101,MODULY_CBA!$B$3:$E$23,3,0),),)</f>
        <v>0.93499999999999994</v>
      </c>
      <c r="N101" s="379">
        <f>IFERROR(IF(B101="funkcna poziadavka",VLOOKUP(G101,MODULY_CBA!$B$3:$E$23,2,0),),)</f>
        <v>1.18</v>
      </c>
      <c r="O101" s="378">
        <f t="shared" si="8"/>
        <v>11.268262499999999</v>
      </c>
      <c r="P101" s="377">
        <f>IFERROR(O101*VLOOKUP(G101,MODULY_CBA!$B$3:$F$23,5,0),)</f>
        <v>338.04787499999998</v>
      </c>
      <c r="Q101" s="478" t="str">
        <f>IFERROR(VLOOKUP(G101,MODULY_CBA!$B$3:$I$23,6,0),"")</f>
        <v>Inkrement 2</v>
      </c>
      <c r="R101" s="385"/>
      <c r="S101" s="385"/>
      <c r="T101" s="385"/>
      <c r="U101" s="385"/>
      <c r="V101" s="385"/>
      <c r="W101" s="385"/>
      <c r="X101" s="385"/>
      <c r="Y101" s="385"/>
      <c r="Z101" s="385"/>
      <c r="AA101" s="385"/>
      <c r="AB101" s="385"/>
      <c r="AC101" s="385"/>
      <c r="AD101" s="385"/>
      <c r="AE101" s="385"/>
    </row>
    <row r="102" spans="1:31" ht="25.5">
      <c r="A102" s="401">
        <v>100</v>
      </c>
      <c r="B102" s="401" t="s">
        <v>475</v>
      </c>
      <c r="C102" s="530" t="s">
        <v>476</v>
      </c>
      <c r="D102" s="532" t="s">
        <v>576</v>
      </c>
      <c r="E102" s="532"/>
      <c r="F102" s="389" t="s">
        <v>8</v>
      </c>
      <c r="G102" s="389" t="s">
        <v>255</v>
      </c>
      <c r="H102" s="379">
        <v>2</v>
      </c>
      <c r="I102" s="379">
        <v>5</v>
      </c>
      <c r="J102" s="379">
        <f t="shared" si="6"/>
        <v>2</v>
      </c>
      <c r="K102" s="379">
        <f t="shared" si="7"/>
        <v>10</v>
      </c>
      <c r="L102" s="643">
        <f>IFERROR(IF(B102="funkcna poziadavka",VLOOKUP(G102,MODULY_CBA!$B$3:$E$23,4,0)*H102/SUMIFS($H$3:$H$199,$G$3:$G$199,G102,$B$3:$B$199,B102),),)</f>
        <v>0.21323529411764705</v>
      </c>
      <c r="M102" s="379">
        <f>IFERROR(IF(B102="Funkcna poziadavka",VLOOKUP(G102,MODULY_CBA!$B$3:$E$23,3,0),),)</f>
        <v>0.93499999999999994</v>
      </c>
      <c r="N102" s="379">
        <f>IFERROR(IF(B102="funkcna poziadavka",VLOOKUP(G102,MODULY_CBA!$B$3:$E$23,2,0),),)</f>
        <v>1.18</v>
      </c>
      <c r="O102" s="378">
        <f t="shared" si="8"/>
        <v>11.268262499999999</v>
      </c>
      <c r="P102" s="377">
        <f>IFERROR(O102*VLOOKUP(G102,MODULY_CBA!$B$3:$F$23,5,0),)</f>
        <v>338.04787499999998</v>
      </c>
      <c r="Q102" s="478" t="str">
        <f>IFERROR(VLOOKUP(G102,MODULY_CBA!$B$3:$I$23,6,0),"")</f>
        <v>Inkrement 2</v>
      </c>
      <c r="R102" s="385"/>
      <c r="S102" s="385"/>
      <c r="T102" s="385"/>
      <c r="U102" s="385"/>
      <c r="V102" s="385"/>
      <c r="W102" s="385"/>
      <c r="X102" s="385"/>
      <c r="Y102" s="385"/>
      <c r="Z102" s="385"/>
      <c r="AA102" s="385"/>
      <c r="AB102" s="385"/>
      <c r="AC102" s="385"/>
      <c r="AD102" s="385"/>
      <c r="AE102" s="385"/>
    </row>
    <row r="103" spans="1:31" ht="25.5">
      <c r="A103" s="401">
        <v>101</v>
      </c>
      <c r="B103" s="401" t="s">
        <v>475</v>
      </c>
      <c r="C103" s="530" t="s">
        <v>476</v>
      </c>
      <c r="D103" s="532" t="s">
        <v>577</v>
      </c>
      <c r="E103" s="532"/>
      <c r="F103" s="389" t="s">
        <v>8</v>
      </c>
      <c r="G103" s="389" t="s">
        <v>255</v>
      </c>
      <c r="H103" s="379">
        <v>2</v>
      </c>
      <c r="I103" s="379">
        <v>5</v>
      </c>
      <c r="J103" s="379">
        <f t="shared" si="6"/>
        <v>2</v>
      </c>
      <c r="K103" s="379">
        <f t="shared" si="7"/>
        <v>10</v>
      </c>
      <c r="L103" s="643">
        <f>IFERROR(IF(B103="funkcna poziadavka",VLOOKUP(G103,MODULY_CBA!$B$3:$E$23,4,0)*H103/SUMIFS($H$3:$H$199,$G$3:$G$199,G103,$B$3:$B$199,B103),),)</f>
        <v>0.21323529411764705</v>
      </c>
      <c r="M103" s="379">
        <f>IFERROR(IF(B103="Funkcna poziadavka",VLOOKUP(G103,MODULY_CBA!$B$3:$E$23,3,0),),)</f>
        <v>0.93499999999999994</v>
      </c>
      <c r="N103" s="379">
        <f>IFERROR(IF(B103="funkcna poziadavka",VLOOKUP(G103,MODULY_CBA!$B$3:$E$23,2,0),),)</f>
        <v>1.18</v>
      </c>
      <c r="O103" s="378">
        <f t="shared" si="8"/>
        <v>11.268262499999999</v>
      </c>
      <c r="P103" s="377">
        <f>IFERROR(O103*VLOOKUP(G103,MODULY_CBA!$B$3:$F$23,5,0),)</f>
        <v>338.04787499999998</v>
      </c>
      <c r="Q103" s="478" t="str">
        <f>IFERROR(VLOOKUP(G103,MODULY_CBA!$B$3:$I$23,6,0),"")</f>
        <v>Inkrement 2</v>
      </c>
      <c r="R103" s="385"/>
      <c r="S103" s="385"/>
      <c r="T103" s="385"/>
      <c r="U103" s="385"/>
      <c r="V103" s="385"/>
      <c r="W103" s="385"/>
      <c r="X103" s="385"/>
      <c r="Y103" s="385"/>
      <c r="Z103" s="385"/>
      <c r="AA103" s="385"/>
      <c r="AB103" s="385"/>
      <c r="AC103" s="385"/>
      <c r="AD103" s="385"/>
      <c r="AE103" s="385"/>
    </row>
    <row r="104" spans="1:31" ht="25.5">
      <c r="A104" s="401">
        <v>102</v>
      </c>
      <c r="B104" s="401" t="s">
        <v>475</v>
      </c>
      <c r="C104" s="530" t="s">
        <v>476</v>
      </c>
      <c r="D104" s="530" t="s">
        <v>578</v>
      </c>
      <c r="E104" s="530"/>
      <c r="F104" s="389" t="s">
        <v>8</v>
      </c>
      <c r="G104" s="389" t="s">
        <v>255</v>
      </c>
      <c r="H104" s="379">
        <v>2</v>
      </c>
      <c r="I104" s="379">
        <v>5</v>
      </c>
      <c r="J104" s="379">
        <f t="shared" si="6"/>
        <v>2</v>
      </c>
      <c r="K104" s="379">
        <f t="shared" si="7"/>
        <v>10</v>
      </c>
      <c r="L104" s="643">
        <f>IFERROR(IF(B104="funkcna poziadavka",VLOOKUP(G104,MODULY_CBA!$B$3:$E$23,4,0)*H104/SUMIFS($H$3:$H$199,$G$3:$G$199,G104,$B$3:$B$199,B104),),)</f>
        <v>0.21323529411764705</v>
      </c>
      <c r="M104" s="379">
        <f>IFERROR(IF(B104="Funkcna poziadavka",VLOOKUP(G104,MODULY_CBA!$B$3:$E$23,3,0),),)</f>
        <v>0.93499999999999994</v>
      </c>
      <c r="N104" s="379">
        <f>IFERROR(IF(B104="funkcna poziadavka",VLOOKUP(G104,MODULY_CBA!$B$3:$E$23,2,0),),)</f>
        <v>1.18</v>
      </c>
      <c r="O104" s="378">
        <f t="shared" si="8"/>
        <v>11.268262499999999</v>
      </c>
      <c r="P104" s="377">
        <f>IFERROR(O104*VLOOKUP(G104,MODULY_CBA!$B$3:$F$23,5,0),)</f>
        <v>338.04787499999998</v>
      </c>
      <c r="Q104" s="478" t="str">
        <f>IFERROR(VLOOKUP(G104,MODULY_CBA!$B$3:$I$23,6,0),"")</f>
        <v>Inkrement 2</v>
      </c>
      <c r="R104" s="375"/>
      <c r="S104" s="375"/>
      <c r="T104" s="375"/>
      <c r="U104" s="375"/>
      <c r="V104" s="375"/>
      <c r="W104" s="375"/>
      <c r="X104" s="375"/>
      <c r="Y104" s="375"/>
      <c r="Z104" s="375"/>
      <c r="AA104" s="375"/>
      <c r="AB104" s="375"/>
      <c r="AC104" s="375"/>
      <c r="AD104" s="375"/>
      <c r="AE104" s="375"/>
    </row>
    <row r="105" spans="1:31" ht="25.5">
      <c r="A105" s="401">
        <v>103</v>
      </c>
      <c r="B105" s="401" t="s">
        <v>475</v>
      </c>
      <c r="C105" s="530" t="s">
        <v>476</v>
      </c>
      <c r="D105" s="530" t="s">
        <v>579</v>
      </c>
      <c r="E105" s="530"/>
      <c r="F105" s="389" t="s">
        <v>8</v>
      </c>
      <c r="G105" s="389" t="s">
        <v>255</v>
      </c>
      <c r="H105" s="379">
        <v>2</v>
      </c>
      <c r="I105" s="379">
        <v>5</v>
      </c>
      <c r="J105" s="379">
        <f t="shared" si="6"/>
        <v>2</v>
      </c>
      <c r="K105" s="379">
        <f t="shared" si="7"/>
        <v>10</v>
      </c>
      <c r="L105" s="643">
        <f>IFERROR(IF(B105="funkcna poziadavka",VLOOKUP(G105,MODULY_CBA!$B$3:$E$23,4,0)*H105/SUMIFS($H$3:$H$199,$G$3:$G$199,G105,$B$3:$B$199,B105),),)</f>
        <v>0.21323529411764705</v>
      </c>
      <c r="M105" s="379">
        <f>IFERROR(IF(B105="Funkcna poziadavka",VLOOKUP(G105,MODULY_CBA!$B$3:$E$23,3,0),),)</f>
        <v>0.93499999999999994</v>
      </c>
      <c r="N105" s="379">
        <f>IFERROR(IF(B105="funkcna poziadavka",VLOOKUP(G105,MODULY_CBA!$B$3:$E$23,2,0),),)</f>
        <v>1.18</v>
      </c>
      <c r="O105" s="378">
        <f t="shared" si="8"/>
        <v>11.268262499999999</v>
      </c>
      <c r="P105" s="377">
        <f>IFERROR(O105*VLOOKUP(G105,MODULY_CBA!$B$3:$F$23,5,0),)</f>
        <v>338.04787499999998</v>
      </c>
      <c r="Q105" s="478" t="str">
        <f>IFERROR(VLOOKUP(G105,MODULY_CBA!$B$3:$I$23,6,0),"")</f>
        <v>Inkrement 2</v>
      </c>
      <c r="R105" s="375" t="s">
        <v>119</v>
      </c>
      <c r="S105" s="375" t="s">
        <v>119</v>
      </c>
      <c r="T105" s="375" t="s">
        <v>119</v>
      </c>
      <c r="U105" s="375" t="s">
        <v>119</v>
      </c>
      <c r="V105" s="375" t="s">
        <v>119</v>
      </c>
      <c r="W105" s="375" t="s">
        <v>119</v>
      </c>
      <c r="X105" s="375" t="s">
        <v>119</v>
      </c>
      <c r="Y105" s="375" t="s">
        <v>119</v>
      </c>
      <c r="Z105" s="375" t="s">
        <v>119</v>
      </c>
      <c r="AA105" s="375" t="s">
        <v>119</v>
      </c>
      <c r="AB105" s="375" t="s">
        <v>119</v>
      </c>
      <c r="AC105" s="375" t="s">
        <v>119</v>
      </c>
      <c r="AD105" s="375" t="s">
        <v>119</v>
      </c>
      <c r="AE105" s="375" t="s">
        <v>119</v>
      </c>
    </row>
    <row r="106" spans="1:31" ht="25.5">
      <c r="A106" s="401">
        <v>104</v>
      </c>
      <c r="B106" s="401" t="s">
        <v>475</v>
      </c>
      <c r="C106" s="530" t="s">
        <v>476</v>
      </c>
      <c r="D106" s="530" t="s">
        <v>580</v>
      </c>
      <c r="E106" s="530"/>
      <c r="F106" s="389" t="s">
        <v>8</v>
      </c>
      <c r="G106" s="389" t="s">
        <v>255</v>
      </c>
      <c r="H106" s="379">
        <v>2</v>
      </c>
      <c r="I106" s="379">
        <v>5</v>
      </c>
      <c r="J106" s="379">
        <f t="shared" si="6"/>
        <v>2</v>
      </c>
      <c r="K106" s="379">
        <f t="shared" si="7"/>
        <v>10</v>
      </c>
      <c r="L106" s="643">
        <f>IFERROR(IF(B106="funkcna poziadavka",VLOOKUP(G106,MODULY_CBA!$B$3:$E$23,4,0)*H106/SUMIFS($H$3:$H$199,$G$3:$G$199,G106,$B$3:$B$199,B106),),)</f>
        <v>0.21323529411764705</v>
      </c>
      <c r="M106" s="379">
        <f>IFERROR(IF(B106="Funkcna poziadavka",VLOOKUP(G106,MODULY_CBA!$B$3:$E$23,3,0),),)</f>
        <v>0.93499999999999994</v>
      </c>
      <c r="N106" s="379">
        <f>IFERROR(IF(B106="funkcna poziadavka",VLOOKUP(G106,MODULY_CBA!$B$3:$E$23,2,0),),)</f>
        <v>1.18</v>
      </c>
      <c r="O106" s="378">
        <f t="shared" si="8"/>
        <v>11.268262499999999</v>
      </c>
      <c r="P106" s="377">
        <f>IFERROR(O106*VLOOKUP(G106,MODULY_CBA!$B$3:$F$23,5,0),)</f>
        <v>338.04787499999998</v>
      </c>
      <c r="Q106" s="478" t="str">
        <f>IFERROR(VLOOKUP(G106,MODULY_CBA!$B$3:$I$23,6,0),"")</f>
        <v>Inkrement 2</v>
      </c>
      <c r="R106" s="375" t="s">
        <v>119</v>
      </c>
      <c r="S106" s="375" t="s">
        <v>119</v>
      </c>
      <c r="T106" s="375" t="s">
        <v>119</v>
      </c>
      <c r="U106" s="375" t="s">
        <v>119</v>
      </c>
      <c r="V106" s="375" t="s">
        <v>119</v>
      </c>
      <c r="W106" s="375" t="s">
        <v>119</v>
      </c>
      <c r="X106" s="375" t="s">
        <v>119</v>
      </c>
      <c r="Y106" s="375" t="s">
        <v>119</v>
      </c>
      <c r="Z106" s="375" t="s">
        <v>119</v>
      </c>
      <c r="AA106" s="375" t="s">
        <v>119</v>
      </c>
      <c r="AB106" s="375" t="s">
        <v>119</v>
      </c>
      <c r="AC106" s="375" t="s">
        <v>119</v>
      </c>
      <c r="AD106" s="375" t="s">
        <v>119</v>
      </c>
      <c r="AE106" s="375" t="s">
        <v>119</v>
      </c>
    </row>
    <row r="107" spans="1:31" ht="25.5">
      <c r="A107" s="401">
        <v>105</v>
      </c>
      <c r="B107" s="401" t="s">
        <v>475</v>
      </c>
      <c r="C107" s="530" t="s">
        <v>476</v>
      </c>
      <c r="D107" s="530" t="s">
        <v>581</v>
      </c>
      <c r="E107" s="530"/>
      <c r="F107" s="389" t="s">
        <v>8</v>
      </c>
      <c r="G107" s="389" t="s">
        <v>255</v>
      </c>
      <c r="H107" s="379">
        <v>2</v>
      </c>
      <c r="I107" s="379">
        <v>5</v>
      </c>
      <c r="J107" s="379">
        <f t="shared" si="6"/>
        <v>2</v>
      </c>
      <c r="K107" s="379">
        <f t="shared" si="7"/>
        <v>10</v>
      </c>
      <c r="L107" s="643">
        <f>IFERROR(IF(B107="funkcna poziadavka",VLOOKUP(G107,MODULY_CBA!$B$3:$E$23,4,0)*H107/SUMIFS($H$3:$H$199,$G$3:$G$199,G107,$B$3:$B$199,B107),),)</f>
        <v>0.21323529411764705</v>
      </c>
      <c r="M107" s="379">
        <f>IFERROR(IF(B107="Funkcna poziadavka",VLOOKUP(G107,MODULY_CBA!$B$3:$E$23,3,0),),)</f>
        <v>0.93499999999999994</v>
      </c>
      <c r="N107" s="379">
        <f>IFERROR(IF(B107="funkcna poziadavka",VLOOKUP(G107,MODULY_CBA!$B$3:$E$23,2,0),),)</f>
        <v>1.18</v>
      </c>
      <c r="O107" s="378">
        <f t="shared" si="8"/>
        <v>11.268262499999999</v>
      </c>
      <c r="P107" s="377">
        <f>IFERROR(O107*VLOOKUP(G107,MODULY_CBA!$B$3:$F$23,5,0),)</f>
        <v>338.04787499999998</v>
      </c>
      <c r="Q107" s="478" t="str">
        <f>IFERROR(VLOOKUP(G107,MODULY_CBA!$B$3:$I$23,6,0),"")</f>
        <v>Inkrement 2</v>
      </c>
      <c r="R107" s="382" t="s">
        <v>119</v>
      </c>
      <c r="S107" s="382" t="s">
        <v>119</v>
      </c>
      <c r="T107" s="382" t="s">
        <v>119</v>
      </c>
      <c r="U107" s="382" t="s">
        <v>119</v>
      </c>
      <c r="V107" s="382" t="s">
        <v>119</v>
      </c>
      <c r="W107" s="382" t="s">
        <v>119</v>
      </c>
      <c r="X107" s="382" t="s">
        <v>119</v>
      </c>
      <c r="Y107" s="382" t="s">
        <v>119</v>
      </c>
      <c r="Z107" s="382" t="s">
        <v>119</v>
      </c>
      <c r="AA107" s="382" t="s">
        <v>119</v>
      </c>
      <c r="AB107" s="382" t="s">
        <v>119</v>
      </c>
      <c r="AC107" s="382" t="s">
        <v>119</v>
      </c>
      <c r="AD107" s="382" t="s">
        <v>119</v>
      </c>
      <c r="AE107" s="382" t="s">
        <v>119</v>
      </c>
    </row>
    <row r="108" spans="1:31" ht="25.5">
      <c r="A108" s="401">
        <v>106</v>
      </c>
      <c r="B108" s="401" t="s">
        <v>475</v>
      </c>
      <c r="C108" s="530" t="s">
        <v>476</v>
      </c>
      <c r="D108" s="530" t="s">
        <v>582</v>
      </c>
      <c r="E108" s="530"/>
      <c r="F108" s="389" t="s">
        <v>8</v>
      </c>
      <c r="G108" s="389" t="s">
        <v>255</v>
      </c>
      <c r="H108" s="379">
        <v>2</v>
      </c>
      <c r="I108" s="379">
        <v>5</v>
      </c>
      <c r="J108" s="379">
        <f t="shared" si="6"/>
        <v>2</v>
      </c>
      <c r="K108" s="379">
        <f t="shared" si="7"/>
        <v>10</v>
      </c>
      <c r="L108" s="643">
        <f>IFERROR(IF(B108="funkcna poziadavka",VLOOKUP(G108,MODULY_CBA!$B$3:$E$23,4,0)*H108/SUMIFS($H$3:$H$199,$G$3:$G$199,G108,$B$3:$B$199,B108),),)</f>
        <v>0.21323529411764705</v>
      </c>
      <c r="M108" s="379">
        <f>IFERROR(IF(B108="Funkcna poziadavka",VLOOKUP(G108,MODULY_CBA!$B$3:$E$23,3,0),),)</f>
        <v>0.93499999999999994</v>
      </c>
      <c r="N108" s="379">
        <f>IFERROR(IF(B108="funkcna poziadavka",VLOOKUP(G108,MODULY_CBA!$B$3:$E$23,2,0),),)</f>
        <v>1.18</v>
      </c>
      <c r="O108" s="378">
        <f t="shared" si="8"/>
        <v>11.268262499999999</v>
      </c>
      <c r="P108" s="377">
        <f>IFERROR(O108*VLOOKUP(G108,MODULY_CBA!$B$3:$F$23,5,0),)</f>
        <v>338.04787499999998</v>
      </c>
      <c r="Q108" s="478" t="str">
        <f>IFERROR(VLOOKUP(G108,MODULY_CBA!$B$3:$I$23,6,0),"")</f>
        <v>Inkrement 2</v>
      </c>
      <c r="R108" s="382"/>
      <c r="S108" s="382"/>
      <c r="T108" s="382"/>
      <c r="U108" s="382"/>
      <c r="V108" s="382"/>
      <c r="W108" s="382"/>
      <c r="X108" s="382"/>
      <c r="Y108" s="382"/>
      <c r="Z108" s="382"/>
      <c r="AA108" s="382"/>
      <c r="AB108" s="382"/>
      <c r="AC108" s="382"/>
      <c r="AD108" s="382"/>
      <c r="AE108" s="382"/>
    </row>
    <row r="109" spans="1:31" ht="25.5">
      <c r="A109" s="401">
        <v>107</v>
      </c>
      <c r="B109" s="401" t="s">
        <v>475</v>
      </c>
      <c r="C109" s="530" t="s">
        <v>476</v>
      </c>
      <c r="D109" s="530" t="s">
        <v>583</v>
      </c>
      <c r="E109" s="530"/>
      <c r="F109" s="389" t="s">
        <v>8</v>
      </c>
      <c r="G109" s="389" t="s">
        <v>255</v>
      </c>
      <c r="H109" s="379">
        <v>2</v>
      </c>
      <c r="I109" s="379">
        <v>5</v>
      </c>
      <c r="J109" s="379">
        <f t="shared" si="6"/>
        <v>2</v>
      </c>
      <c r="K109" s="379">
        <f t="shared" si="7"/>
        <v>10</v>
      </c>
      <c r="L109" s="643">
        <f>IFERROR(IF(B109="funkcna poziadavka",VLOOKUP(G109,MODULY_CBA!$B$3:$E$23,4,0)*H109/SUMIFS($H$3:$H$199,$G$3:$G$199,G109,$B$3:$B$199,B109),),)</f>
        <v>0.21323529411764705</v>
      </c>
      <c r="M109" s="379">
        <f>IFERROR(IF(B109="Funkcna poziadavka",VLOOKUP(G109,MODULY_CBA!$B$3:$E$23,3,0),),)</f>
        <v>0.93499999999999994</v>
      </c>
      <c r="N109" s="379">
        <f>IFERROR(IF(B109="funkcna poziadavka",VLOOKUP(G109,MODULY_CBA!$B$3:$E$23,2,0),),)</f>
        <v>1.18</v>
      </c>
      <c r="O109" s="378">
        <f t="shared" si="8"/>
        <v>11.268262499999999</v>
      </c>
      <c r="P109" s="377">
        <f>IFERROR(O109*VLOOKUP(G109,MODULY_CBA!$B$3:$F$23,5,0),)</f>
        <v>338.04787499999998</v>
      </c>
      <c r="Q109" s="478" t="str">
        <f>IFERROR(VLOOKUP(G109,MODULY_CBA!$B$3:$I$23,6,0),"")</f>
        <v>Inkrement 2</v>
      </c>
      <c r="R109" s="382"/>
      <c r="S109" s="382"/>
      <c r="T109" s="382"/>
      <c r="U109" s="382"/>
      <c r="V109" s="382"/>
      <c r="W109" s="382"/>
      <c r="X109" s="382"/>
      <c r="Y109" s="382"/>
      <c r="Z109" s="382"/>
      <c r="AA109" s="382"/>
      <c r="AB109" s="382"/>
      <c r="AC109" s="382"/>
      <c r="AD109" s="382"/>
      <c r="AE109" s="382"/>
    </row>
    <row r="110" spans="1:31" ht="25.5">
      <c r="A110" s="401">
        <v>108</v>
      </c>
      <c r="B110" s="401" t="s">
        <v>475</v>
      </c>
      <c r="C110" s="530" t="s">
        <v>476</v>
      </c>
      <c r="D110" s="530" t="s">
        <v>584</v>
      </c>
      <c r="E110" s="530"/>
      <c r="F110" s="389" t="s">
        <v>8</v>
      </c>
      <c r="G110" s="389" t="s">
        <v>255</v>
      </c>
      <c r="H110" s="379">
        <v>2</v>
      </c>
      <c r="I110" s="379">
        <v>5</v>
      </c>
      <c r="J110" s="379">
        <f t="shared" si="6"/>
        <v>2</v>
      </c>
      <c r="K110" s="379">
        <f t="shared" si="7"/>
        <v>10</v>
      </c>
      <c r="L110" s="643">
        <f>IFERROR(IF(B110="funkcna poziadavka",VLOOKUP(G110,MODULY_CBA!$B$3:$E$23,4,0)*H110/SUMIFS($H$3:$H$199,$G$3:$G$199,G110,$B$3:$B$199,B110),),)</f>
        <v>0.21323529411764705</v>
      </c>
      <c r="M110" s="379">
        <f>IFERROR(IF(B110="Funkcna poziadavka",VLOOKUP(G110,MODULY_CBA!$B$3:$E$23,3,0),),)</f>
        <v>0.93499999999999994</v>
      </c>
      <c r="N110" s="379">
        <f>IFERROR(IF(B110="funkcna poziadavka",VLOOKUP(G110,MODULY_CBA!$B$3:$E$23,2,0),),)</f>
        <v>1.18</v>
      </c>
      <c r="O110" s="378">
        <f t="shared" si="8"/>
        <v>11.268262499999999</v>
      </c>
      <c r="P110" s="377">
        <f>IFERROR(O110*VLOOKUP(G110,MODULY_CBA!$B$3:$F$23,5,0),)</f>
        <v>338.04787499999998</v>
      </c>
      <c r="Q110" s="478" t="str">
        <f>IFERROR(VLOOKUP(G110,MODULY_CBA!$B$3:$I$23,6,0),"")</f>
        <v>Inkrement 2</v>
      </c>
      <c r="R110" s="382"/>
      <c r="S110" s="382"/>
      <c r="T110" s="382"/>
      <c r="U110" s="382"/>
      <c r="V110" s="382"/>
      <c r="W110" s="382"/>
      <c r="X110" s="382"/>
      <c r="Y110" s="382"/>
      <c r="Z110" s="382"/>
      <c r="AA110" s="382"/>
      <c r="AB110" s="382"/>
      <c r="AC110" s="382"/>
      <c r="AD110" s="382"/>
      <c r="AE110" s="382"/>
    </row>
    <row r="111" spans="1:31" ht="25.5">
      <c r="A111" s="401">
        <v>109</v>
      </c>
      <c r="B111" s="401" t="s">
        <v>475</v>
      </c>
      <c r="C111" s="530" t="s">
        <v>476</v>
      </c>
      <c r="D111" s="530" t="s">
        <v>585</v>
      </c>
      <c r="E111" s="530"/>
      <c r="F111" s="389" t="s">
        <v>8</v>
      </c>
      <c r="G111" s="389" t="s">
        <v>255</v>
      </c>
      <c r="H111" s="379">
        <v>2</v>
      </c>
      <c r="I111" s="379">
        <v>5</v>
      </c>
      <c r="J111" s="379">
        <f t="shared" si="6"/>
        <v>2</v>
      </c>
      <c r="K111" s="379">
        <f t="shared" si="7"/>
        <v>10</v>
      </c>
      <c r="L111" s="643">
        <f>IFERROR(IF(B111="funkcna poziadavka",VLOOKUP(G111,MODULY_CBA!$B$3:$E$23,4,0)*H111/SUMIFS($H$3:$H$199,$G$3:$G$199,G111,$B$3:$B$199,B111),),)</f>
        <v>0.21323529411764705</v>
      </c>
      <c r="M111" s="379">
        <f>IFERROR(IF(B111="Funkcna poziadavka",VLOOKUP(G111,MODULY_CBA!$B$3:$E$23,3,0),),)</f>
        <v>0.93499999999999994</v>
      </c>
      <c r="N111" s="379">
        <f>IFERROR(IF(B111="funkcna poziadavka",VLOOKUP(G111,MODULY_CBA!$B$3:$E$23,2,0),),)</f>
        <v>1.18</v>
      </c>
      <c r="O111" s="378">
        <f t="shared" si="8"/>
        <v>11.268262499999999</v>
      </c>
      <c r="P111" s="377">
        <f>IFERROR(O111*VLOOKUP(G111,MODULY_CBA!$B$3:$F$23,5,0),)</f>
        <v>338.04787499999998</v>
      </c>
      <c r="Q111" s="478" t="str">
        <f>IFERROR(VLOOKUP(G111,MODULY_CBA!$B$3:$I$23,6,0),"")</f>
        <v>Inkrement 2</v>
      </c>
      <c r="R111" s="382"/>
      <c r="S111" s="382"/>
      <c r="T111" s="382"/>
      <c r="U111" s="382"/>
      <c r="V111" s="382"/>
      <c r="W111" s="382"/>
      <c r="X111" s="382"/>
      <c r="Y111" s="382"/>
      <c r="Z111" s="382"/>
      <c r="AA111" s="382"/>
      <c r="AB111" s="382"/>
      <c r="AC111" s="382"/>
      <c r="AD111" s="382"/>
      <c r="AE111" s="382"/>
    </row>
    <row r="112" spans="1:31" ht="25.5">
      <c r="A112" s="401">
        <v>110</v>
      </c>
      <c r="B112" s="401" t="s">
        <v>475</v>
      </c>
      <c r="C112" s="530" t="s">
        <v>476</v>
      </c>
      <c r="D112" s="530" t="s">
        <v>586</v>
      </c>
      <c r="E112" s="530"/>
      <c r="F112" s="389" t="s">
        <v>8</v>
      </c>
      <c r="G112" s="389" t="s">
        <v>255</v>
      </c>
      <c r="H112" s="379">
        <v>2</v>
      </c>
      <c r="I112" s="379">
        <v>5</v>
      </c>
      <c r="J112" s="379">
        <f t="shared" si="6"/>
        <v>2</v>
      </c>
      <c r="K112" s="379">
        <f t="shared" si="7"/>
        <v>10</v>
      </c>
      <c r="L112" s="643">
        <f>IFERROR(IF(B112="funkcna poziadavka",VLOOKUP(G112,MODULY_CBA!$B$3:$E$23,4,0)*H112/SUMIFS($H$3:$H$199,$G$3:$G$199,G112,$B$3:$B$199,B112),),)</f>
        <v>0.21323529411764705</v>
      </c>
      <c r="M112" s="379">
        <f>IFERROR(IF(B112="Funkcna poziadavka",VLOOKUP(G112,MODULY_CBA!$B$3:$E$23,3,0),),)</f>
        <v>0.93499999999999994</v>
      </c>
      <c r="N112" s="379">
        <f>IFERROR(IF(B112="funkcna poziadavka",VLOOKUP(G112,MODULY_CBA!$B$3:$E$23,2,0),),)</f>
        <v>1.18</v>
      </c>
      <c r="O112" s="378">
        <f t="shared" si="8"/>
        <v>11.268262499999999</v>
      </c>
      <c r="P112" s="377">
        <f>IFERROR(O112*VLOOKUP(G112,MODULY_CBA!$B$3:$F$23,5,0),)</f>
        <v>338.04787499999998</v>
      </c>
      <c r="Q112" s="478" t="str">
        <f>IFERROR(VLOOKUP(G112,MODULY_CBA!$B$3:$I$23,6,0),"")</f>
        <v>Inkrement 2</v>
      </c>
      <c r="R112" s="382"/>
      <c r="S112" s="382"/>
      <c r="T112" s="382"/>
      <c r="U112" s="382"/>
      <c r="V112" s="382"/>
      <c r="W112" s="382"/>
      <c r="X112" s="382"/>
      <c r="Y112" s="382"/>
      <c r="Z112" s="382"/>
      <c r="AA112" s="382"/>
      <c r="AB112" s="382"/>
      <c r="AC112" s="382"/>
      <c r="AD112" s="382"/>
      <c r="AE112" s="382"/>
    </row>
    <row r="113" spans="1:31" ht="25.5">
      <c r="A113" s="401">
        <v>111</v>
      </c>
      <c r="B113" s="401" t="s">
        <v>475</v>
      </c>
      <c r="C113" s="530" t="s">
        <v>476</v>
      </c>
      <c r="D113" s="530" t="s">
        <v>587</v>
      </c>
      <c r="E113" s="530"/>
      <c r="F113" s="389" t="s">
        <v>8</v>
      </c>
      <c r="G113" s="389" t="s">
        <v>255</v>
      </c>
      <c r="H113" s="379">
        <v>2</v>
      </c>
      <c r="I113" s="379">
        <v>5</v>
      </c>
      <c r="J113" s="379">
        <f t="shared" si="6"/>
        <v>2</v>
      </c>
      <c r="K113" s="379">
        <f t="shared" si="7"/>
        <v>10</v>
      </c>
      <c r="L113" s="643">
        <f>IFERROR(IF(B113="funkcna poziadavka",VLOOKUP(G113,MODULY_CBA!$B$3:$E$23,4,0)*H113/SUMIFS($H$3:$H$199,$G$3:$G$199,G113,$B$3:$B$199,B113),),)</f>
        <v>0.21323529411764705</v>
      </c>
      <c r="M113" s="379">
        <f>IFERROR(IF(B113="Funkcna poziadavka",VLOOKUP(G113,MODULY_CBA!$B$3:$E$23,3,0),),)</f>
        <v>0.93499999999999994</v>
      </c>
      <c r="N113" s="379">
        <f>IFERROR(IF(B113="funkcna poziadavka",VLOOKUP(G113,MODULY_CBA!$B$3:$E$23,2,0),),)</f>
        <v>1.18</v>
      </c>
      <c r="O113" s="378">
        <f t="shared" si="8"/>
        <v>11.268262499999999</v>
      </c>
      <c r="P113" s="377">
        <f>IFERROR(O113*VLOOKUP(G113,MODULY_CBA!$B$3:$F$23,5,0),)</f>
        <v>338.04787499999998</v>
      </c>
      <c r="Q113" s="478" t="str">
        <f>IFERROR(VLOOKUP(G113,MODULY_CBA!$B$3:$I$23,6,0),"")</f>
        <v>Inkrement 2</v>
      </c>
      <c r="R113" s="382"/>
      <c r="S113" s="382"/>
      <c r="T113" s="382"/>
      <c r="U113" s="382"/>
      <c r="V113" s="382"/>
      <c r="W113" s="382"/>
      <c r="X113" s="382"/>
      <c r="Y113" s="382"/>
      <c r="Z113" s="382"/>
      <c r="AA113" s="382"/>
      <c r="AB113" s="382"/>
      <c r="AC113" s="382"/>
      <c r="AD113" s="382"/>
      <c r="AE113" s="382"/>
    </row>
    <row r="114" spans="1:31" ht="25.5">
      <c r="A114" s="401">
        <v>112</v>
      </c>
      <c r="B114" s="401" t="s">
        <v>475</v>
      </c>
      <c r="C114" s="530" t="s">
        <v>476</v>
      </c>
      <c r="D114" s="530" t="s">
        <v>588</v>
      </c>
      <c r="E114" s="530"/>
      <c r="F114" s="389" t="s">
        <v>8</v>
      </c>
      <c r="G114" s="389" t="s">
        <v>255</v>
      </c>
      <c r="H114" s="379">
        <v>2</v>
      </c>
      <c r="I114" s="379">
        <v>5</v>
      </c>
      <c r="J114" s="379">
        <f t="shared" si="6"/>
        <v>2</v>
      </c>
      <c r="K114" s="379">
        <f t="shared" si="7"/>
        <v>10</v>
      </c>
      <c r="L114" s="643">
        <f>IFERROR(IF(B114="funkcna poziadavka",VLOOKUP(G114,MODULY_CBA!$B$3:$E$23,4,0)*H114/SUMIFS($H$3:$H$199,$G$3:$G$199,G114,$B$3:$B$199,B114),),)</f>
        <v>0.21323529411764705</v>
      </c>
      <c r="M114" s="379">
        <f>IFERROR(IF(B114="Funkcna poziadavka",VLOOKUP(G114,MODULY_CBA!$B$3:$E$23,3,0),),)</f>
        <v>0.93499999999999994</v>
      </c>
      <c r="N114" s="379">
        <f>IFERROR(IF(B114="funkcna poziadavka",VLOOKUP(G114,MODULY_CBA!$B$3:$E$23,2,0),),)</f>
        <v>1.18</v>
      </c>
      <c r="O114" s="378">
        <f t="shared" si="8"/>
        <v>11.268262499999999</v>
      </c>
      <c r="P114" s="377">
        <f>IFERROR(O114*VLOOKUP(G114,MODULY_CBA!$B$3:$F$23,5,0),)</f>
        <v>338.04787499999998</v>
      </c>
      <c r="Q114" s="478" t="str">
        <f>IFERROR(VLOOKUP(G114,MODULY_CBA!$B$3:$I$23,6,0),"")</f>
        <v>Inkrement 2</v>
      </c>
      <c r="R114" s="382" t="s">
        <v>119</v>
      </c>
      <c r="S114" s="382" t="s">
        <v>119</v>
      </c>
      <c r="T114" s="382" t="s">
        <v>119</v>
      </c>
      <c r="U114" s="382" t="s">
        <v>119</v>
      </c>
      <c r="V114" s="382" t="s">
        <v>119</v>
      </c>
      <c r="W114" s="382" t="s">
        <v>119</v>
      </c>
      <c r="X114" s="382" t="s">
        <v>119</v>
      </c>
      <c r="Y114" s="382" t="s">
        <v>119</v>
      </c>
      <c r="Z114" s="382" t="s">
        <v>119</v>
      </c>
      <c r="AA114" s="382" t="s">
        <v>119</v>
      </c>
      <c r="AB114" s="382" t="s">
        <v>119</v>
      </c>
      <c r="AC114" s="382" t="s">
        <v>119</v>
      </c>
      <c r="AD114" s="382" t="s">
        <v>119</v>
      </c>
      <c r="AE114" s="382" t="s">
        <v>119</v>
      </c>
    </row>
    <row r="115" spans="1:31" ht="25.5">
      <c r="A115" s="401">
        <v>113</v>
      </c>
      <c r="B115" s="401" t="s">
        <v>475</v>
      </c>
      <c r="C115" s="530" t="s">
        <v>476</v>
      </c>
      <c r="D115" s="530" t="s">
        <v>589</v>
      </c>
      <c r="E115" s="530"/>
      <c r="F115" s="389" t="s">
        <v>8</v>
      </c>
      <c r="G115" s="389" t="s">
        <v>255</v>
      </c>
      <c r="H115" s="379">
        <v>2</v>
      </c>
      <c r="I115" s="379">
        <v>5</v>
      </c>
      <c r="J115" s="379">
        <f t="shared" si="6"/>
        <v>2</v>
      </c>
      <c r="K115" s="379">
        <f t="shared" si="7"/>
        <v>10</v>
      </c>
      <c r="L115" s="643">
        <f>IFERROR(IF(B115="funkcna poziadavka",VLOOKUP(G115,MODULY_CBA!$B$3:$E$23,4,0)*H115/SUMIFS($H$3:$H$199,$G$3:$G$199,G115,$B$3:$B$199,B115),),)</f>
        <v>0.21323529411764705</v>
      </c>
      <c r="M115" s="379">
        <f>IFERROR(IF(B115="Funkcna poziadavka",VLOOKUP(G115,MODULY_CBA!$B$3:$E$23,3,0),),)</f>
        <v>0.93499999999999994</v>
      </c>
      <c r="N115" s="379">
        <f>IFERROR(IF(B115="funkcna poziadavka",VLOOKUP(G115,MODULY_CBA!$B$3:$E$23,2,0),),)</f>
        <v>1.18</v>
      </c>
      <c r="O115" s="378">
        <f t="shared" si="8"/>
        <v>11.268262499999999</v>
      </c>
      <c r="P115" s="377">
        <f>IFERROR(O115*VLOOKUP(G115,MODULY_CBA!$B$3:$F$23,5,0),)</f>
        <v>338.04787499999998</v>
      </c>
      <c r="Q115" s="478" t="str">
        <f>IFERROR(VLOOKUP(G115,MODULY_CBA!$B$3:$I$23,6,0),"")</f>
        <v>Inkrement 2</v>
      </c>
      <c r="R115" s="382"/>
      <c r="S115" s="382"/>
      <c r="T115" s="382"/>
      <c r="U115" s="382"/>
      <c r="V115" s="382"/>
      <c r="W115" s="382"/>
      <c r="X115" s="382"/>
      <c r="Y115" s="382"/>
      <c r="Z115" s="382"/>
      <c r="AA115" s="382"/>
      <c r="AB115" s="382"/>
      <c r="AC115" s="382"/>
      <c r="AD115" s="382"/>
      <c r="AE115" s="382"/>
    </row>
    <row r="116" spans="1:31" ht="25.5">
      <c r="A116" s="401">
        <v>114</v>
      </c>
      <c r="B116" s="401" t="s">
        <v>475</v>
      </c>
      <c r="C116" s="530" t="s">
        <v>476</v>
      </c>
      <c r="D116" s="530" t="s">
        <v>590</v>
      </c>
      <c r="E116" s="530"/>
      <c r="F116" s="389" t="s">
        <v>8</v>
      </c>
      <c r="G116" s="389" t="s">
        <v>255</v>
      </c>
      <c r="H116" s="379">
        <v>2</v>
      </c>
      <c r="I116" s="379">
        <v>5</v>
      </c>
      <c r="J116" s="379">
        <f t="shared" si="6"/>
        <v>2</v>
      </c>
      <c r="K116" s="379">
        <f t="shared" si="7"/>
        <v>10</v>
      </c>
      <c r="L116" s="643">
        <f>IFERROR(IF(B116="funkcna poziadavka",VLOOKUP(G116,MODULY_CBA!$B$3:$E$23,4,0)*H116/SUMIFS($H$3:$H$199,$G$3:$G$199,G116,$B$3:$B$199,B116),),)</f>
        <v>0.21323529411764705</v>
      </c>
      <c r="M116" s="379">
        <f>IFERROR(IF(B116="Funkcna poziadavka",VLOOKUP(G116,MODULY_CBA!$B$3:$E$23,3,0),),)</f>
        <v>0.93499999999999994</v>
      </c>
      <c r="N116" s="379">
        <f>IFERROR(IF(B116="funkcna poziadavka",VLOOKUP(G116,MODULY_CBA!$B$3:$E$23,2,0),),)</f>
        <v>1.18</v>
      </c>
      <c r="O116" s="378">
        <f t="shared" si="8"/>
        <v>11.268262499999999</v>
      </c>
      <c r="P116" s="377">
        <f>IFERROR(O116*VLOOKUP(G116,MODULY_CBA!$B$3:$F$23,5,0),)</f>
        <v>338.04787499999998</v>
      </c>
      <c r="Q116" s="478" t="str">
        <f>IFERROR(VLOOKUP(G116,MODULY_CBA!$B$3:$I$23,6,0),"")</f>
        <v>Inkrement 2</v>
      </c>
      <c r="R116" s="382"/>
      <c r="S116" s="382"/>
      <c r="T116" s="382"/>
      <c r="U116" s="382"/>
      <c r="V116" s="382"/>
      <c r="W116" s="382"/>
      <c r="X116" s="382"/>
      <c r="Y116" s="382"/>
      <c r="Z116" s="382"/>
      <c r="AA116" s="382"/>
      <c r="AB116" s="382"/>
      <c r="AC116" s="382"/>
      <c r="AD116" s="382"/>
      <c r="AE116" s="382"/>
    </row>
    <row r="117" spans="1:31" ht="25.5">
      <c r="A117" s="401">
        <v>115</v>
      </c>
      <c r="B117" s="401" t="s">
        <v>475</v>
      </c>
      <c r="C117" s="530" t="s">
        <v>476</v>
      </c>
      <c r="D117" s="530" t="s">
        <v>591</v>
      </c>
      <c r="E117" s="530"/>
      <c r="F117" s="389" t="s">
        <v>8</v>
      </c>
      <c r="G117" s="389" t="s">
        <v>255</v>
      </c>
      <c r="H117" s="379">
        <v>2</v>
      </c>
      <c r="I117" s="379">
        <v>5</v>
      </c>
      <c r="J117" s="379">
        <f t="shared" si="6"/>
        <v>2</v>
      </c>
      <c r="K117" s="379">
        <f t="shared" si="7"/>
        <v>10</v>
      </c>
      <c r="L117" s="643">
        <f>IFERROR(IF(B117="funkcna poziadavka",VLOOKUP(G117,MODULY_CBA!$B$3:$E$23,4,0)*H117/SUMIFS($H$3:$H$199,$G$3:$G$199,G117,$B$3:$B$199,B117),),)</f>
        <v>0.21323529411764705</v>
      </c>
      <c r="M117" s="379">
        <f>IFERROR(IF(B117="Funkcna poziadavka",VLOOKUP(G117,MODULY_CBA!$B$3:$E$23,3,0),),)</f>
        <v>0.93499999999999994</v>
      </c>
      <c r="N117" s="379">
        <f>IFERROR(IF(B117="funkcna poziadavka",VLOOKUP(G117,MODULY_CBA!$B$3:$E$23,2,0),),)</f>
        <v>1.18</v>
      </c>
      <c r="O117" s="378">
        <f t="shared" si="8"/>
        <v>11.268262499999999</v>
      </c>
      <c r="P117" s="377">
        <f>IFERROR(O117*VLOOKUP(G117,MODULY_CBA!$B$3:$F$23,5,0),)</f>
        <v>338.04787499999998</v>
      </c>
      <c r="Q117" s="478" t="str">
        <f>IFERROR(VLOOKUP(G117,MODULY_CBA!$B$3:$I$23,6,0),"")</f>
        <v>Inkrement 2</v>
      </c>
      <c r="R117" s="382"/>
      <c r="S117" s="382"/>
      <c r="T117" s="382"/>
      <c r="U117" s="382"/>
      <c r="V117" s="382"/>
      <c r="W117" s="382"/>
      <c r="X117" s="382"/>
      <c r="Y117" s="382"/>
      <c r="Z117" s="382"/>
      <c r="AA117" s="382"/>
      <c r="AB117" s="382"/>
      <c r="AC117" s="382"/>
      <c r="AD117" s="382"/>
      <c r="AE117" s="382"/>
    </row>
    <row r="118" spans="1:31" ht="25.5">
      <c r="A118" s="401">
        <v>116</v>
      </c>
      <c r="B118" s="401" t="s">
        <v>475</v>
      </c>
      <c r="C118" s="530" t="s">
        <v>476</v>
      </c>
      <c r="D118" s="530" t="s">
        <v>592</v>
      </c>
      <c r="E118" s="530"/>
      <c r="F118" s="389" t="s">
        <v>8</v>
      </c>
      <c r="G118" s="389" t="s">
        <v>255</v>
      </c>
      <c r="H118" s="379">
        <v>2</v>
      </c>
      <c r="I118" s="379">
        <v>5</v>
      </c>
      <c r="J118" s="379">
        <f t="shared" si="6"/>
        <v>2</v>
      </c>
      <c r="K118" s="379">
        <f t="shared" si="7"/>
        <v>10</v>
      </c>
      <c r="L118" s="643">
        <f>IFERROR(IF(B118="funkcna poziadavka",VLOOKUP(G118,MODULY_CBA!$B$3:$E$23,4,0)*H118/SUMIFS($H$3:$H$199,$G$3:$G$199,G118,$B$3:$B$199,B118),),)</f>
        <v>0.21323529411764705</v>
      </c>
      <c r="M118" s="379">
        <f>IFERROR(IF(B118="Funkcna poziadavka",VLOOKUP(G118,MODULY_CBA!$B$3:$E$23,3,0),),)</f>
        <v>0.93499999999999994</v>
      </c>
      <c r="N118" s="379">
        <f>IFERROR(IF(B118="funkcna poziadavka",VLOOKUP(G118,MODULY_CBA!$B$3:$E$23,2,0),),)</f>
        <v>1.18</v>
      </c>
      <c r="O118" s="378">
        <f t="shared" si="8"/>
        <v>11.268262499999999</v>
      </c>
      <c r="P118" s="377">
        <f>IFERROR(O118*VLOOKUP(G118,MODULY_CBA!$B$3:$F$23,5,0),)</f>
        <v>338.04787499999998</v>
      </c>
      <c r="Q118" s="478" t="str">
        <f>IFERROR(VLOOKUP(G118,MODULY_CBA!$B$3:$I$23,6,0),"")</f>
        <v>Inkrement 2</v>
      </c>
      <c r="R118" s="382"/>
      <c r="S118" s="382"/>
      <c r="T118" s="382"/>
      <c r="U118" s="382"/>
      <c r="V118" s="382"/>
      <c r="W118" s="382"/>
      <c r="X118" s="382"/>
      <c r="Y118" s="382"/>
      <c r="Z118" s="382"/>
      <c r="AA118" s="382"/>
      <c r="AB118" s="382"/>
      <c r="AC118" s="382"/>
      <c r="AD118" s="382"/>
      <c r="AE118" s="382"/>
    </row>
    <row r="119" spans="1:31" ht="25.5">
      <c r="A119" s="401">
        <v>117</v>
      </c>
      <c r="B119" s="401" t="s">
        <v>475</v>
      </c>
      <c r="C119" s="530" t="s">
        <v>476</v>
      </c>
      <c r="D119" s="530" t="s">
        <v>593</v>
      </c>
      <c r="E119" s="530"/>
      <c r="F119" s="389" t="s">
        <v>8</v>
      </c>
      <c r="G119" s="389" t="s">
        <v>255</v>
      </c>
      <c r="H119" s="379">
        <v>2</v>
      </c>
      <c r="I119" s="379">
        <v>5</v>
      </c>
      <c r="J119" s="379">
        <f t="shared" si="6"/>
        <v>2</v>
      </c>
      <c r="K119" s="379">
        <f t="shared" si="7"/>
        <v>10</v>
      </c>
      <c r="L119" s="643">
        <f>IFERROR(IF(B119="funkcna poziadavka",VLOOKUP(G119,MODULY_CBA!$B$3:$E$23,4,0)*H119/SUMIFS($H$3:$H$199,$G$3:$G$199,G119,$B$3:$B$199,B119),),)</f>
        <v>0.21323529411764705</v>
      </c>
      <c r="M119" s="379">
        <f>IFERROR(IF(B119="Funkcna poziadavka",VLOOKUP(G119,MODULY_CBA!$B$3:$E$23,3,0),),)</f>
        <v>0.93499999999999994</v>
      </c>
      <c r="N119" s="379">
        <f>IFERROR(IF(B119="funkcna poziadavka",VLOOKUP(G119,MODULY_CBA!$B$3:$E$23,2,0),),)</f>
        <v>1.18</v>
      </c>
      <c r="O119" s="378">
        <f t="shared" si="8"/>
        <v>11.268262499999999</v>
      </c>
      <c r="P119" s="377">
        <f>IFERROR(O119*VLOOKUP(G119,MODULY_CBA!$B$3:$F$23,5,0),)</f>
        <v>338.04787499999998</v>
      </c>
      <c r="Q119" s="478" t="str">
        <f>IFERROR(VLOOKUP(G119,MODULY_CBA!$B$3:$I$23,6,0),"")</f>
        <v>Inkrement 2</v>
      </c>
      <c r="R119" s="382"/>
      <c r="S119" s="382"/>
      <c r="T119" s="382"/>
      <c r="U119" s="382"/>
      <c r="V119" s="382"/>
      <c r="W119" s="382"/>
      <c r="X119" s="382"/>
      <c r="Y119" s="382"/>
      <c r="Z119" s="382"/>
      <c r="AA119" s="382"/>
      <c r="AB119" s="382"/>
      <c r="AC119" s="382"/>
      <c r="AD119" s="382"/>
      <c r="AE119" s="382"/>
    </row>
    <row r="120" spans="1:31" ht="25.5">
      <c r="A120" s="401">
        <v>118</v>
      </c>
      <c r="B120" s="401" t="s">
        <v>475</v>
      </c>
      <c r="C120" s="530" t="s">
        <v>476</v>
      </c>
      <c r="D120" s="530" t="s">
        <v>594</v>
      </c>
      <c r="E120" s="530"/>
      <c r="F120" s="389" t="s">
        <v>8</v>
      </c>
      <c r="G120" s="389" t="s">
        <v>255</v>
      </c>
      <c r="H120" s="379">
        <v>2</v>
      </c>
      <c r="I120" s="379">
        <v>5</v>
      </c>
      <c r="J120" s="379">
        <f t="shared" si="6"/>
        <v>2</v>
      </c>
      <c r="K120" s="379">
        <f t="shared" si="7"/>
        <v>10</v>
      </c>
      <c r="L120" s="643">
        <f>IFERROR(IF(B120="funkcna poziadavka",VLOOKUP(G120,MODULY_CBA!$B$3:$E$23,4,0)*H120/SUMIFS($H$3:$H$199,$G$3:$G$199,G120,$B$3:$B$199,B120),),)</f>
        <v>0.21323529411764705</v>
      </c>
      <c r="M120" s="379">
        <f>IFERROR(IF(B120="Funkcna poziadavka",VLOOKUP(G120,MODULY_CBA!$B$3:$E$23,3,0),),)</f>
        <v>0.93499999999999994</v>
      </c>
      <c r="N120" s="379">
        <f>IFERROR(IF(B120="funkcna poziadavka",VLOOKUP(G120,MODULY_CBA!$B$3:$E$23,2,0),),)</f>
        <v>1.18</v>
      </c>
      <c r="O120" s="378">
        <f t="shared" si="8"/>
        <v>11.268262499999999</v>
      </c>
      <c r="P120" s="377">
        <f>IFERROR(O120*VLOOKUP(G120,MODULY_CBA!$B$3:$F$23,5,0),)</f>
        <v>338.04787499999998</v>
      </c>
      <c r="Q120" s="478" t="str">
        <f>IFERROR(VLOOKUP(G120,MODULY_CBA!$B$3:$I$23,6,0),"")</f>
        <v>Inkrement 2</v>
      </c>
      <c r="R120" s="382"/>
      <c r="S120" s="382"/>
      <c r="T120" s="382"/>
      <c r="U120" s="382"/>
      <c r="V120" s="382"/>
      <c r="W120" s="382"/>
      <c r="X120" s="382"/>
      <c r="Y120" s="382"/>
      <c r="Z120" s="382"/>
      <c r="AA120" s="382"/>
      <c r="AB120" s="382"/>
      <c r="AC120" s="382"/>
      <c r="AD120" s="382"/>
      <c r="AE120" s="382"/>
    </row>
    <row r="121" spans="1:31" ht="25.5">
      <c r="A121" s="401">
        <v>119</v>
      </c>
      <c r="B121" s="401" t="s">
        <v>475</v>
      </c>
      <c r="C121" s="530" t="s">
        <v>476</v>
      </c>
      <c r="D121" s="530" t="s">
        <v>595</v>
      </c>
      <c r="E121" s="530"/>
      <c r="F121" s="389" t="s">
        <v>8</v>
      </c>
      <c r="G121" s="389" t="s">
        <v>255</v>
      </c>
      <c r="H121" s="379">
        <v>2</v>
      </c>
      <c r="I121" s="379">
        <v>5</v>
      </c>
      <c r="J121" s="379">
        <f t="shared" si="6"/>
        <v>2</v>
      </c>
      <c r="K121" s="379">
        <f t="shared" si="7"/>
        <v>10</v>
      </c>
      <c r="L121" s="643">
        <f>IFERROR(IF(B121="funkcna poziadavka",VLOOKUP(G121,MODULY_CBA!$B$3:$E$23,4,0)*H121/SUMIFS($H$3:$H$199,$G$3:$G$199,G121,$B$3:$B$199,B121),),)</f>
        <v>0.21323529411764705</v>
      </c>
      <c r="M121" s="379">
        <f>IFERROR(IF(B121="Funkcna poziadavka",VLOOKUP(G121,MODULY_CBA!$B$3:$E$23,3,0),),)</f>
        <v>0.93499999999999994</v>
      </c>
      <c r="N121" s="379">
        <f>IFERROR(IF(B121="funkcna poziadavka",VLOOKUP(G121,MODULY_CBA!$B$3:$E$23,2,0),),)</f>
        <v>1.18</v>
      </c>
      <c r="O121" s="378">
        <f t="shared" si="8"/>
        <v>11.268262499999999</v>
      </c>
      <c r="P121" s="377">
        <f>IFERROR(O121*VLOOKUP(G121,MODULY_CBA!$B$3:$F$23,5,0),)</f>
        <v>338.04787499999998</v>
      </c>
      <c r="Q121" s="478" t="str">
        <f>IFERROR(VLOOKUP(G121,MODULY_CBA!$B$3:$I$23,6,0),"")</f>
        <v>Inkrement 2</v>
      </c>
      <c r="R121" s="382"/>
      <c r="S121" s="382"/>
      <c r="T121" s="382"/>
      <c r="U121" s="382"/>
      <c r="V121" s="382"/>
      <c r="W121" s="382"/>
      <c r="X121" s="382"/>
      <c r="Y121" s="382"/>
      <c r="Z121" s="382"/>
      <c r="AA121" s="382"/>
      <c r="AB121" s="382"/>
      <c r="AC121" s="382"/>
      <c r="AD121" s="382"/>
      <c r="AE121" s="382"/>
    </row>
    <row r="122" spans="1:31" ht="25.5">
      <c r="A122" s="401">
        <v>120</v>
      </c>
      <c r="B122" s="401" t="s">
        <v>475</v>
      </c>
      <c r="C122" s="530" t="s">
        <v>476</v>
      </c>
      <c r="D122" s="530" t="s">
        <v>596</v>
      </c>
      <c r="E122" s="530"/>
      <c r="F122" s="389" t="s">
        <v>8</v>
      </c>
      <c r="G122" s="389" t="s">
        <v>255</v>
      </c>
      <c r="H122" s="379">
        <v>2</v>
      </c>
      <c r="I122" s="379">
        <v>5</v>
      </c>
      <c r="J122" s="379">
        <f t="shared" si="6"/>
        <v>2</v>
      </c>
      <c r="K122" s="379">
        <f t="shared" si="7"/>
        <v>10</v>
      </c>
      <c r="L122" s="643">
        <f>IFERROR(IF(B122="funkcna poziadavka",VLOOKUP(G122,MODULY_CBA!$B$3:$E$23,4,0)*H122/SUMIFS($H$3:$H$199,$G$3:$G$199,G122,$B$3:$B$199,B122),),)</f>
        <v>0.21323529411764705</v>
      </c>
      <c r="M122" s="379">
        <f>IFERROR(IF(B122="Funkcna poziadavka",VLOOKUP(G122,MODULY_CBA!$B$3:$E$23,3,0),),)</f>
        <v>0.93499999999999994</v>
      </c>
      <c r="N122" s="379">
        <f>IFERROR(IF(B122="funkcna poziadavka",VLOOKUP(G122,MODULY_CBA!$B$3:$E$23,2,0),),)</f>
        <v>1.18</v>
      </c>
      <c r="O122" s="378">
        <f t="shared" si="8"/>
        <v>11.268262499999999</v>
      </c>
      <c r="P122" s="377">
        <f>IFERROR(O122*VLOOKUP(G122,MODULY_CBA!$B$3:$F$23,5,0),)</f>
        <v>338.04787499999998</v>
      </c>
      <c r="Q122" s="478" t="str">
        <f>IFERROR(VLOOKUP(G122,MODULY_CBA!$B$3:$I$23,6,0),"")</f>
        <v>Inkrement 2</v>
      </c>
      <c r="R122" s="382"/>
      <c r="S122" s="382"/>
      <c r="T122" s="382"/>
      <c r="U122" s="382"/>
      <c r="V122" s="382"/>
      <c r="W122" s="382"/>
      <c r="X122" s="382"/>
      <c r="Y122" s="382"/>
      <c r="Z122" s="382"/>
      <c r="AA122" s="382"/>
      <c r="AB122" s="382"/>
      <c r="AC122" s="382"/>
      <c r="AD122" s="382"/>
      <c r="AE122" s="382"/>
    </row>
    <row r="123" spans="1:31" ht="25.5">
      <c r="A123" s="401">
        <v>121</v>
      </c>
      <c r="B123" s="401" t="s">
        <v>475</v>
      </c>
      <c r="C123" s="530" t="s">
        <v>476</v>
      </c>
      <c r="D123" s="530" t="s">
        <v>597</v>
      </c>
      <c r="E123" s="530"/>
      <c r="F123" s="389" t="s">
        <v>8</v>
      </c>
      <c r="G123" s="389" t="s">
        <v>255</v>
      </c>
      <c r="H123" s="379">
        <v>2</v>
      </c>
      <c r="I123" s="379">
        <v>5</v>
      </c>
      <c r="J123" s="379">
        <f t="shared" si="6"/>
        <v>2</v>
      </c>
      <c r="K123" s="379">
        <f t="shared" si="7"/>
        <v>10</v>
      </c>
      <c r="L123" s="643">
        <f>IFERROR(IF(B123="funkcna poziadavka",VLOOKUP(G123,MODULY_CBA!$B$3:$E$23,4,0)*H123/SUMIFS($H$3:$H$199,$G$3:$G$199,G123,$B$3:$B$199,B123),),)</f>
        <v>0.21323529411764705</v>
      </c>
      <c r="M123" s="379">
        <f>IFERROR(IF(B123="Funkcna poziadavka",VLOOKUP(G123,MODULY_CBA!$B$3:$E$23,3,0),),)</f>
        <v>0.93499999999999994</v>
      </c>
      <c r="N123" s="379">
        <f>IFERROR(IF(B123="funkcna poziadavka",VLOOKUP(G123,MODULY_CBA!$B$3:$E$23,2,0),),)</f>
        <v>1.18</v>
      </c>
      <c r="O123" s="378">
        <f t="shared" si="8"/>
        <v>11.268262499999999</v>
      </c>
      <c r="P123" s="377">
        <f>IFERROR(O123*VLOOKUP(G123,MODULY_CBA!$B$3:$F$23,5,0),)</f>
        <v>338.04787499999998</v>
      </c>
      <c r="Q123" s="478" t="str">
        <f>IFERROR(VLOOKUP(G123,MODULY_CBA!$B$3:$I$23,6,0),"")</f>
        <v>Inkrement 2</v>
      </c>
      <c r="R123" s="382"/>
      <c r="S123" s="382"/>
      <c r="T123" s="382"/>
      <c r="U123" s="382"/>
      <c r="V123" s="382"/>
      <c r="W123" s="382"/>
      <c r="X123" s="382"/>
      <c r="Y123" s="382"/>
      <c r="Z123" s="382"/>
      <c r="AA123" s="382"/>
      <c r="AB123" s="382"/>
      <c r="AC123" s="382"/>
      <c r="AD123" s="382"/>
      <c r="AE123" s="382"/>
    </row>
    <row r="124" spans="1:31" ht="25.5">
      <c r="A124" s="401">
        <v>122</v>
      </c>
      <c r="B124" s="401" t="s">
        <v>475</v>
      </c>
      <c r="C124" s="530" t="s">
        <v>476</v>
      </c>
      <c r="D124" s="530" t="s">
        <v>598</v>
      </c>
      <c r="E124" s="530"/>
      <c r="F124" s="389" t="s">
        <v>8</v>
      </c>
      <c r="G124" s="389" t="s">
        <v>255</v>
      </c>
      <c r="H124" s="379">
        <v>2</v>
      </c>
      <c r="I124" s="379">
        <v>5</v>
      </c>
      <c r="J124" s="379">
        <f t="shared" si="6"/>
        <v>2</v>
      </c>
      <c r="K124" s="379">
        <f t="shared" si="7"/>
        <v>10</v>
      </c>
      <c r="L124" s="643">
        <f>IFERROR(IF(B124="funkcna poziadavka",VLOOKUP(G124,MODULY_CBA!$B$3:$E$23,4,0)*H124/SUMIFS($H$3:$H$199,$G$3:$G$199,G124,$B$3:$B$199,B124),),)</f>
        <v>0.21323529411764705</v>
      </c>
      <c r="M124" s="379">
        <f>IFERROR(IF(B124="Funkcna poziadavka",VLOOKUP(G124,MODULY_CBA!$B$3:$E$23,3,0),),)</f>
        <v>0.93499999999999994</v>
      </c>
      <c r="N124" s="379">
        <f>IFERROR(IF(B124="funkcna poziadavka",VLOOKUP(G124,MODULY_CBA!$B$3:$E$23,2,0),),)</f>
        <v>1.18</v>
      </c>
      <c r="O124" s="378">
        <f t="shared" si="8"/>
        <v>11.268262499999999</v>
      </c>
      <c r="P124" s="377">
        <f>IFERROR(O124*VLOOKUP(G124,MODULY_CBA!$B$3:$F$23,5,0),)</f>
        <v>338.04787499999998</v>
      </c>
      <c r="Q124" s="478" t="str">
        <f>IFERROR(VLOOKUP(G124,MODULY_CBA!$B$3:$I$23,6,0),"")</f>
        <v>Inkrement 2</v>
      </c>
      <c r="R124" s="382"/>
      <c r="S124" s="382"/>
      <c r="T124" s="382"/>
      <c r="U124" s="382"/>
      <c r="V124" s="382"/>
      <c r="W124" s="382"/>
      <c r="X124" s="382"/>
      <c r="Y124" s="382"/>
      <c r="Z124" s="382"/>
      <c r="AA124" s="382"/>
      <c r="AB124" s="382"/>
      <c r="AC124" s="382"/>
      <c r="AD124" s="382"/>
      <c r="AE124" s="382"/>
    </row>
    <row r="125" spans="1:31" ht="25.5">
      <c r="A125" s="401">
        <v>123</v>
      </c>
      <c r="B125" s="401" t="s">
        <v>475</v>
      </c>
      <c r="C125" s="530" t="s">
        <v>476</v>
      </c>
      <c r="D125" s="530" t="s">
        <v>599</v>
      </c>
      <c r="E125" s="530"/>
      <c r="F125" s="389" t="s">
        <v>8</v>
      </c>
      <c r="G125" s="389" t="s">
        <v>255</v>
      </c>
      <c r="H125" s="379">
        <v>2</v>
      </c>
      <c r="I125" s="379">
        <v>5</v>
      </c>
      <c r="J125" s="379">
        <f t="shared" si="6"/>
        <v>2</v>
      </c>
      <c r="K125" s="379">
        <f t="shared" si="7"/>
        <v>10</v>
      </c>
      <c r="L125" s="643">
        <f>IFERROR(IF(B125="funkcna poziadavka",VLOOKUP(G125,MODULY_CBA!$B$3:$E$23,4,0)*H125/SUMIFS($H$3:$H$199,$G$3:$G$199,G125,$B$3:$B$199,B125),),)</f>
        <v>0.21323529411764705</v>
      </c>
      <c r="M125" s="379">
        <f>IFERROR(IF(B125="Funkcna poziadavka",VLOOKUP(G125,MODULY_CBA!$B$3:$E$23,3,0),),)</f>
        <v>0.93499999999999994</v>
      </c>
      <c r="N125" s="379">
        <f>IFERROR(IF(B125="funkcna poziadavka",VLOOKUP(G125,MODULY_CBA!$B$3:$E$23,2,0),),)</f>
        <v>1.18</v>
      </c>
      <c r="O125" s="378">
        <f t="shared" si="8"/>
        <v>11.268262499999999</v>
      </c>
      <c r="P125" s="377">
        <f>IFERROR(O125*VLOOKUP(G125,MODULY_CBA!$B$3:$F$23,5,0),)</f>
        <v>338.04787499999998</v>
      </c>
      <c r="Q125" s="478" t="str">
        <f>IFERROR(VLOOKUP(G125,MODULY_CBA!$B$3:$I$23,6,0),"")</f>
        <v>Inkrement 2</v>
      </c>
      <c r="R125" s="382"/>
      <c r="S125" s="382"/>
      <c r="T125" s="382"/>
      <c r="U125" s="382"/>
      <c r="V125" s="382"/>
      <c r="W125" s="382"/>
      <c r="X125" s="382"/>
      <c r="Y125" s="382"/>
      <c r="Z125" s="382"/>
      <c r="AA125" s="382"/>
      <c r="AB125" s="382"/>
      <c r="AC125" s="382"/>
      <c r="AD125" s="382"/>
      <c r="AE125" s="382"/>
    </row>
    <row r="126" spans="1:31" ht="25.5">
      <c r="A126" s="401">
        <v>124</v>
      </c>
      <c r="B126" s="401" t="s">
        <v>475</v>
      </c>
      <c r="C126" s="530" t="s">
        <v>476</v>
      </c>
      <c r="D126" s="530" t="s">
        <v>600</v>
      </c>
      <c r="E126" s="530"/>
      <c r="F126" s="389" t="s">
        <v>8</v>
      </c>
      <c r="G126" s="389" t="s">
        <v>255</v>
      </c>
      <c r="H126" s="379">
        <v>2</v>
      </c>
      <c r="I126" s="379">
        <v>5</v>
      </c>
      <c r="J126" s="379">
        <f t="shared" si="6"/>
        <v>2</v>
      </c>
      <c r="K126" s="379">
        <f t="shared" si="7"/>
        <v>10</v>
      </c>
      <c r="L126" s="643">
        <f>IFERROR(IF(B126="funkcna poziadavka",VLOOKUP(G126,MODULY_CBA!$B$3:$E$23,4,0)*H126/SUMIFS($H$3:$H$199,$G$3:$G$199,G126,$B$3:$B$199,B126),),)</f>
        <v>0.21323529411764705</v>
      </c>
      <c r="M126" s="379">
        <f>IFERROR(IF(B126="Funkcna poziadavka",VLOOKUP(G126,MODULY_CBA!$B$3:$E$23,3,0),),)</f>
        <v>0.93499999999999994</v>
      </c>
      <c r="N126" s="379">
        <f>IFERROR(IF(B126="funkcna poziadavka",VLOOKUP(G126,MODULY_CBA!$B$3:$E$23,2,0),),)</f>
        <v>1.18</v>
      </c>
      <c r="O126" s="378">
        <f t="shared" si="8"/>
        <v>11.268262499999999</v>
      </c>
      <c r="P126" s="377">
        <f>IFERROR(O126*VLOOKUP(G126,MODULY_CBA!$B$3:$F$23,5,0),)</f>
        <v>338.04787499999998</v>
      </c>
      <c r="Q126" s="478" t="str">
        <f>IFERROR(VLOOKUP(G126,MODULY_CBA!$B$3:$I$23,6,0),"")</f>
        <v>Inkrement 2</v>
      </c>
      <c r="R126" s="382"/>
      <c r="S126" s="382"/>
      <c r="T126" s="382"/>
      <c r="U126" s="382"/>
      <c r="V126" s="382"/>
      <c r="W126" s="382"/>
      <c r="X126" s="382"/>
      <c r="Y126" s="382"/>
      <c r="Z126" s="382"/>
      <c r="AA126" s="382"/>
      <c r="AB126" s="382"/>
      <c r="AC126" s="382"/>
      <c r="AD126" s="382"/>
      <c r="AE126" s="382"/>
    </row>
    <row r="127" spans="1:31" ht="25.5">
      <c r="A127" s="401">
        <v>125</v>
      </c>
      <c r="B127" s="401" t="s">
        <v>475</v>
      </c>
      <c r="C127" s="530" t="s">
        <v>476</v>
      </c>
      <c r="D127" s="530" t="s">
        <v>601</v>
      </c>
      <c r="E127" s="530"/>
      <c r="F127" s="389" t="s">
        <v>8</v>
      </c>
      <c r="G127" s="389" t="s">
        <v>255</v>
      </c>
      <c r="H127" s="379">
        <v>2</v>
      </c>
      <c r="I127" s="379">
        <v>5</v>
      </c>
      <c r="J127" s="379">
        <f t="shared" si="6"/>
        <v>2</v>
      </c>
      <c r="K127" s="379">
        <f t="shared" si="7"/>
        <v>10</v>
      </c>
      <c r="L127" s="643">
        <f>IFERROR(IF(B127="funkcna poziadavka",VLOOKUP(G127,MODULY_CBA!$B$3:$E$23,4,0)*H127/SUMIFS($H$3:$H$199,$G$3:$G$199,G127,$B$3:$B$199,B127),),)</f>
        <v>0.21323529411764705</v>
      </c>
      <c r="M127" s="379">
        <f>IFERROR(IF(B127="Funkcna poziadavka",VLOOKUP(G127,MODULY_CBA!$B$3:$E$23,3,0),),)</f>
        <v>0.93499999999999994</v>
      </c>
      <c r="N127" s="379">
        <f>IFERROR(IF(B127="funkcna poziadavka",VLOOKUP(G127,MODULY_CBA!$B$3:$E$23,2,0),),)</f>
        <v>1.18</v>
      </c>
      <c r="O127" s="378">
        <f t="shared" si="8"/>
        <v>11.268262499999999</v>
      </c>
      <c r="P127" s="377">
        <f>IFERROR(O127*VLOOKUP(G127,MODULY_CBA!$B$3:$F$23,5,0),)</f>
        <v>338.04787499999998</v>
      </c>
      <c r="Q127" s="478" t="str">
        <f>IFERROR(VLOOKUP(G127,MODULY_CBA!$B$3:$I$23,6,0),"")</f>
        <v>Inkrement 2</v>
      </c>
      <c r="R127" s="382"/>
      <c r="S127" s="382"/>
      <c r="T127" s="382"/>
      <c r="U127" s="382"/>
      <c r="V127" s="382"/>
      <c r="W127" s="382"/>
      <c r="X127" s="382"/>
      <c r="Y127" s="382"/>
      <c r="Z127" s="382"/>
      <c r="AA127" s="382"/>
      <c r="AB127" s="382"/>
      <c r="AC127" s="382"/>
      <c r="AD127" s="382"/>
      <c r="AE127" s="382"/>
    </row>
    <row r="128" spans="1:31" ht="25.5">
      <c r="A128" s="401">
        <v>126</v>
      </c>
      <c r="B128" s="401" t="s">
        <v>475</v>
      </c>
      <c r="C128" s="530" t="s">
        <v>476</v>
      </c>
      <c r="D128" s="530" t="s">
        <v>602</v>
      </c>
      <c r="E128" s="530"/>
      <c r="F128" s="389" t="s">
        <v>8</v>
      </c>
      <c r="G128" s="389" t="s">
        <v>255</v>
      </c>
      <c r="H128" s="379">
        <v>2</v>
      </c>
      <c r="I128" s="379">
        <v>5</v>
      </c>
      <c r="J128" s="379">
        <f t="shared" si="6"/>
        <v>2</v>
      </c>
      <c r="K128" s="379">
        <f t="shared" si="7"/>
        <v>10</v>
      </c>
      <c r="L128" s="643">
        <f>IFERROR(IF(B128="funkcna poziadavka",VLOOKUP(G128,MODULY_CBA!$B$3:$E$23,4,0)*H128/SUMIFS($H$3:$H$199,$G$3:$G$199,G128,$B$3:$B$199,B128),),)</f>
        <v>0.21323529411764705</v>
      </c>
      <c r="M128" s="379">
        <f>IFERROR(IF(B128="Funkcna poziadavka",VLOOKUP(G128,MODULY_CBA!$B$3:$E$23,3,0),),)</f>
        <v>0.93499999999999994</v>
      </c>
      <c r="N128" s="379">
        <f>IFERROR(IF(B128="funkcna poziadavka",VLOOKUP(G128,MODULY_CBA!$B$3:$E$23,2,0),),)</f>
        <v>1.18</v>
      </c>
      <c r="O128" s="378">
        <f t="shared" si="8"/>
        <v>11.268262499999999</v>
      </c>
      <c r="P128" s="377">
        <f>IFERROR(O128*VLOOKUP(G128,MODULY_CBA!$B$3:$F$23,5,0),)</f>
        <v>338.04787499999998</v>
      </c>
      <c r="Q128" s="478" t="str">
        <f>IFERROR(VLOOKUP(G128,MODULY_CBA!$B$3:$I$23,6,0),"")</f>
        <v>Inkrement 2</v>
      </c>
      <c r="R128" s="382" t="s">
        <v>119</v>
      </c>
      <c r="S128" s="382" t="s">
        <v>119</v>
      </c>
      <c r="T128" s="382" t="s">
        <v>119</v>
      </c>
      <c r="U128" s="382" t="s">
        <v>119</v>
      </c>
      <c r="V128" s="382" t="s">
        <v>119</v>
      </c>
      <c r="W128" s="382" t="s">
        <v>119</v>
      </c>
      <c r="X128" s="382" t="s">
        <v>119</v>
      </c>
      <c r="Y128" s="382" t="s">
        <v>119</v>
      </c>
      <c r="Z128" s="382" t="s">
        <v>119</v>
      </c>
      <c r="AA128" s="382" t="s">
        <v>119</v>
      </c>
      <c r="AB128" s="382" t="s">
        <v>119</v>
      </c>
      <c r="AC128" s="382" t="s">
        <v>119</v>
      </c>
      <c r="AD128" s="382" t="s">
        <v>119</v>
      </c>
      <c r="AE128" s="382" t="s">
        <v>119</v>
      </c>
    </row>
    <row r="129" spans="1:31" ht="25.5">
      <c r="A129" s="401">
        <v>127</v>
      </c>
      <c r="B129" s="401" t="s">
        <v>475</v>
      </c>
      <c r="C129" s="530" t="s">
        <v>476</v>
      </c>
      <c r="D129" s="530" t="s">
        <v>603</v>
      </c>
      <c r="E129" s="530"/>
      <c r="F129" s="389" t="s">
        <v>8</v>
      </c>
      <c r="G129" s="389" t="s">
        <v>255</v>
      </c>
      <c r="H129" s="379">
        <v>2</v>
      </c>
      <c r="I129" s="379">
        <v>5</v>
      </c>
      <c r="J129" s="379">
        <f t="shared" si="6"/>
        <v>2</v>
      </c>
      <c r="K129" s="379">
        <f t="shared" si="7"/>
        <v>10</v>
      </c>
      <c r="L129" s="643">
        <f>IFERROR(IF(B129="funkcna poziadavka",VLOOKUP(G129,MODULY_CBA!$B$3:$E$23,4,0)*H129/SUMIFS($H$3:$H$199,$G$3:$G$199,G129,$B$3:$B$199,B129),),)</f>
        <v>0.21323529411764705</v>
      </c>
      <c r="M129" s="379">
        <f>IFERROR(IF(B129="Funkcna poziadavka",VLOOKUP(G129,MODULY_CBA!$B$3:$E$23,3,0),),)</f>
        <v>0.93499999999999994</v>
      </c>
      <c r="N129" s="379">
        <f>IFERROR(IF(B129="funkcna poziadavka",VLOOKUP(G129,MODULY_CBA!$B$3:$E$23,2,0),),)</f>
        <v>1.18</v>
      </c>
      <c r="O129" s="378">
        <f t="shared" si="8"/>
        <v>11.268262499999999</v>
      </c>
      <c r="P129" s="377">
        <f>IFERROR(O129*VLOOKUP(G129,MODULY_CBA!$B$3:$F$23,5,0),)</f>
        <v>338.04787499999998</v>
      </c>
      <c r="Q129" s="478" t="str">
        <f>IFERROR(VLOOKUP(G129,MODULY_CBA!$B$3:$I$23,6,0),"")</f>
        <v>Inkrement 2</v>
      </c>
      <c r="R129" s="382"/>
      <c r="S129" s="382"/>
      <c r="T129" s="382"/>
      <c r="U129" s="382"/>
      <c r="V129" s="382"/>
      <c r="W129" s="382"/>
      <c r="X129" s="382"/>
      <c r="Y129" s="382"/>
      <c r="Z129" s="382"/>
      <c r="AA129" s="382"/>
      <c r="AB129" s="382"/>
      <c r="AC129" s="382"/>
      <c r="AD129" s="382"/>
      <c r="AE129" s="382"/>
    </row>
    <row r="130" spans="1:31" ht="25.5">
      <c r="A130" s="401">
        <v>128</v>
      </c>
      <c r="B130" s="401" t="s">
        <v>475</v>
      </c>
      <c r="C130" s="530" t="s">
        <v>476</v>
      </c>
      <c r="D130" s="530" t="s">
        <v>604</v>
      </c>
      <c r="E130" s="530"/>
      <c r="F130" s="389" t="s">
        <v>8</v>
      </c>
      <c r="G130" s="389" t="s">
        <v>255</v>
      </c>
      <c r="H130" s="379">
        <v>2</v>
      </c>
      <c r="I130" s="379">
        <v>5</v>
      </c>
      <c r="J130" s="379">
        <f t="shared" si="6"/>
        <v>2</v>
      </c>
      <c r="K130" s="379">
        <f t="shared" si="7"/>
        <v>10</v>
      </c>
      <c r="L130" s="643">
        <f>IFERROR(IF(B130="funkcna poziadavka",VLOOKUP(G130,MODULY_CBA!$B$3:$E$23,4,0)*H130/SUMIFS($H$3:$H$199,$G$3:$G$199,G130,$B$3:$B$199,B130),),)</f>
        <v>0.21323529411764705</v>
      </c>
      <c r="M130" s="379">
        <f>IFERROR(IF(B130="Funkcna poziadavka",VLOOKUP(G130,MODULY_CBA!$B$3:$E$23,3,0),),)</f>
        <v>0.93499999999999994</v>
      </c>
      <c r="N130" s="379">
        <f>IFERROR(IF(B130="funkcna poziadavka",VLOOKUP(G130,MODULY_CBA!$B$3:$E$23,2,0),),)</f>
        <v>1.18</v>
      </c>
      <c r="O130" s="378">
        <f t="shared" si="8"/>
        <v>11.268262499999999</v>
      </c>
      <c r="P130" s="377">
        <f>IFERROR(O130*VLOOKUP(G130,MODULY_CBA!$B$3:$F$23,5,0),)</f>
        <v>338.04787499999998</v>
      </c>
      <c r="Q130" s="478" t="str">
        <f>IFERROR(VLOOKUP(G130,MODULY_CBA!$B$3:$I$23,6,0),"")</f>
        <v>Inkrement 2</v>
      </c>
      <c r="R130" s="382"/>
      <c r="S130" s="382"/>
      <c r="T130" s="382"/>
      <c r="U130" s="382"/>
      <c r="V130" s="382"/>
      <c r="W130" s="382"/>
      <c r="X130" s="382"/>
      <c r="Y130" s="382"/>
      <c r="Z130" s="382"/>
      <c r="AA130" s="382"/>
      <c r="AB130" s="382"/>
      <c r="AC130" s="382"/>
      <c r="AD130" s="382"/>
      <c r="AE130" s="382"/>
    </row>
    <row r="131" spans="1:31" ht="25.5">
      <c r="A131" s="401">
        <v>129</v>
      </c>
      <c r="B131" s="401" t="s">
        <v>475</v>
      </c>
      <c r="C131" s="530" t="s">
        <v>476</v>
      </c>
      <c r="D131" s="530" t="s">
        <v>605</v>
      </c>
      <c r="E131" s="530"/>
      <c r="F131" s="389" t="s">
        <v>8</v>
      </c>
      <c r="G131" s="389" t="s">
        <v>255</v>
      </c>
      <c r="H131" s="379">
        <v>2</v>
      </c>
      <c r="I131" s="379">
        <v>5</v>
      </c>
      <c r="J131" s="379">
        <f t="shared" si="6"/>
        <v>2</v>
      </c>
      <c r="K131" s="379">
        <f t="shared" si="7"/>
        <v>10</v>
      </c>
      <c r="L131" s="643">
        <f>IFERROR(IF(B131="funkcna poziadavka",VLOOKUP(G131,MODULY_CBA!$B$3:$E$23,4,0)*H131/SUMIFS($H$3:$H$199,$G$3:$G$199,G131,$B$3:$B$199,B131),),)</f>
        <v>0.21323529411764705</v>
      </c>
      <c r="M131" s="379">
        <f>IFERROR(IF(B131="Funkcna poziadavka",VLOOKUP(G131,MODULY_CBA!$B$3:$E$23,3,0),),)</f>
        <v>0.93499999999999994</v>
      </c>
      <c r="N131" s="379">
        <f>IFERROR(IF(B131="funkcna poziadavka",VLOOKUP(G131,MODULY_CBA!$B$3:$E$23,2,0),),)</f>
        <v>1.18</v>
      </c>
      <c r="O131" s="378">
        <f t="shared" ref="O131:O162" si="9">(K131+L131)*M131*N131</f>
        <v>11.268262499999999</v>
      </c>
      <c r="P131" s="377">
        <f>IFERROR(O131*VLOOKUP(G131,MODULY_CBA!$B$3:$F$23,5,0),)</f>
        <v>338.04787499999998</v>
      </c>
      <c r="Q131" s="478" t="str">
        <f>IFERROR(VLOOKUP(G131,MODULY_CBA!$B$3:$I$23,6,0),"")</f>
        <v>Inkrement 2</v>
      </c>
      <c r="R131" s="382"/>
      <c r="S131" s="382"/>
      <c r="T131" s="382"/>
      <c r="U131" s="382"/>
      <c r="V131" s="382"/>
      <c r="W131" s="382"/>
      <c r="X131" s="382"/>
      <c r="Y131" s="382"/>
      <c r="Z131" s="382"/>
      <c r="AA131" s="382"/>
      <c r="AB131" s="382"/>
      <c r="AC131" s="382"/>
      <c r="AD131" s="382"/>
      <c r="AE131" s="382"/>
    </row>
    <row r="132" spans="1:31" ht="25.5">
      <c r="A132" s="401">
        <v>130</v>
      </c>
      <c r="B132" s="401" t="s">
        <v>475</v>
      </c>
      <c r="C132" s="530" t="s">
        <v>476</v>
      </c>
      <c r="D132" s="530" t="s">
        <v>606</v>
      </c>
      <c r="E132" s="530"/>
      <c r="F132" s="389" t="s">
        <v>8</v>
      </c>
      <c r="G132" s="389" t="s">
        <v>255</v>
      </c>
      <c r="H132" s="379">
        <v>2</v>
      </c>
      <c r="I132" s="379">
        <v>5</v>
      </c>
      <c r="J132" s="379">
        <f t="shared" ref="J132:J195" si="10">IF(ISNUMBER(H132),H132,)</f>
        <v>2</v>
      </c>
      <c r="K132" s="379">
        <f t="shared" ref="K132:K169" si="11">H132*I132</f>
        <v>10</v>
      </c>
      <c r="L132" s="643">
        <f>IFERROR(IF(B132="funkcna poziadavka",VLOOKUP(G132,MODULY_CBA!$B$3:$E$23,4,0)*H132/SUMIFS($H$3:$H$199,$G$3:$G$199,G132,$B$3:$B$199,B132),),)</f>
        <v>0.21323529411764705</v>
      </c>
      <c r="M132" s="379">
        <f>IFERROR(IF(B132="Funkcna poziadavka",VLOOKUP(G132,MODULY_CBA!$B$3:$E$23,3,0),),)</f>
        <v>0.93499999999999994</v>
      </c>
      <c r="N132" s="379">
        <f>IFERROR(IF(B132="funkcna poziadavka",VLOOKUP(G132,MODULY_CBA!$B$3:$E$23,2,0),),)</f>
        <v>1.18</v>
      </c>
      <c r="O132" s="378">
        <f t="shared" si="9"/>
        <v>11.268262499999999</v>
      </c>
      <c r="P132" s="377">
        <f>IFERROR(O132*VLOOKUP(G132,MODULY_CBA!$B$3:$F$23,5,0),)</f>
        <v>338.04787499999998</v>
      </c>
      <c r="Q132" s="478" t="str">
        <f>IFERROR(VLOOKUP(G132,MODULY_CBA!$B$3:$I$23,6,0),"")</f>
        <v>Inkrement 2</v>
      </c>
      <c r="R132" s="382"/>
      <c r="S132" s="382"/>
      <c r="T132" s="382"/>
      <c r="U132" s="382"/>
      <c r="V132" s="382"/>
      <c r="W132" s="382"/>
      <c r="X132" s="382"/>
      <c r="Y132" s="382"/>
      <c r="Z132" s="382"/>
      <c r="AA132" s="382"/>
      <c r="AB132" s="382"/>
      <c r="AC132" s="382"/>
      <c r="AD132" s="382"/>
      <c r="AE132" s="382"/>
    </row>
    <row r="133" spans="1:31" ht="25.5">
      <c r="A133" s="401">
        <v>131</v>
      </c>
      <c r="B133" s="401" t="s">
        <v>475</v>
      </c>
      <c r="C133" s="530" t="s">
        <v>476</v>
      </c>
      <c r="D133" s="530" t="s">
        <v>607</v>
      </c>
      <c r="E133" s="530"/>
      <c r="F133" s="389" t="s">
        <v>8</v>
      </c>
      <c r="G133" s="389" t="s">
        <v>255</v>
      </c>
      <c r="H133" s="379">
        <v>2</v>
      </c>
      <c r="I133" s="379">
        <v>5</v>
      </c>
      <c r="J133" s="379">
        <f t="shared" si="10"/>
        <v>2</v>
      </c>
      <c r="K133" s="379">
        <f t="shared" si="11"/>
        <v>10</v>
      </c>
      <c r="L133" s="643">
        <f>IFERROR(IF(B133="funkcna poziadavka",VLOOKUP(G133,MODULY_CBA!$B$3:$E$23,4,0)*H133/SUMIFS($H$3:$H$199,$G$3:$G$199,G133,$B$3:$B$199,B133),),)</f>
        <v>0.21323529411764705</v>
      </c>
      <c r="M133" s="379">
        <f>IFERROR(IF(B133="Funkcna poziadavka",VLOOKUP(G133,MODULY_CBA!$B$3:$E$23,3,0),),)</f>
        <v>0.93499999999999994</v>
      </c>
      <c r="N133" s="379">
        <f>IFERROR(IF(B133="funkcna poziadavka",VLOOKUP(G133,MODULY_CBA!$B$3:$E$23,2,0),),)</f>
        <v>1.18</v>
      </c>
      <c r="O133" s="378">
        <f t="shared" si="9"/>
        <v>11.268262499999999</v>
      </c>
      <c r="P133" s="377">
        <f>IFERROR(O133*VLOOKUP(G133,MODULY_CBA!$B$3:$F$23,5,0),)</f>
        <v>338.04787499999998</v>
      </c>
      <c r="Q133" s="478" t="str">
        <f>IFERROR(VLOOKUP(G133,MODULY_CBA!$B$3:$I$23,6,0),"")</f>
        <v>Inkrement 2</v>
      </c>
      <c r="R133" s="382"/>
      <c r="S133" s="382"/>
      <c r="T133" s="382"/>
      <c r="U133" s="382"/>
      <c r="V133" s="382"/>
      <c r="W133" s="382"/>
      <c r="X133" s="382"/>
      <c r="Y133" s="382"/>
      <c r="Z133" s="382"/>
      <c r="AA133" s="382"/>
      <c r="AB133" s="382"/>
      <c r="AC133" s="382"/>
      <c r="AD133" s="382"/>
      <c r="AE133" s="382"/>
    </row>
    <row r="134" spans="1:31" ht="25.5">
      <c r="A134" s="401">
        <v>132</v>
      </c>
      <c r="B134" s="401" t="s">
        <v>475</v>
      </c>
      <c r="C134" s="530" t="s">
        <v>476</v>
      </c>
      <c r="D134" s="530" t="s">
        <v>608</v>
      </c>
      <c r="E134" s="530"/>
      <c r="F134" s="389" t="s">
        <v>8</v>
      </c>
      <c r="G134" s="389" t="s">
        <v>255</v>
      </c>
      <c r="H134" s="379">
        <v>2</v>
      </c>
      <c r="I134" s="379">
        <v>5</v>
      </c>
      <c r="J134" s="379">
        <f t="shared" si="10"/>
        <v>2</v>
      </c>
      <c r="K134" s="379">
        <f t="shared" si="11"/>
        <v>10</v>
      </c>
      <c r="L134" s="643">
        <f>IFERROR(IF(B134="funkcna poziadavka",VLOOKUP(G134,MODULY_CBA!$B$3:$E$23,4,0)*H134/SUMIFS($H$3:$H$199,$G$3:$G$199,G134,$B$3:$B$199,B134),),)</f>
        <v>0.21323529411764705</v>
      </c>
      <c r="M134" s="379">
        <f>IFERROR(IF(B134="Funkcna poziadavka",VLOOKUP(G134,MODULY_CBA!$B$3:$E$23,3,0),),)</f>
        <v>0.93499999999999994</v>
      </c>
      <c r="N134" s="379">
        <f>IFERROR(IF(B134="funkcna poziadavka",VLOOKUP(G134,MODULY_CBA!$B$3:$E$23,2,0),),)</f>
        <v>1.18</v>
      </c>
      <c r="O134" s="378">
        <f t="shared" si="9"/>
        <v>11.268262499999999</v>
      </c>
      <c r="P134" s="377">
        <f>IFERROR(O134*VLOOKUP(G134,MODULY_CBA!$B$3:$F$23,5,0),)</f>
        <v>338.04787499999998</v>
      </c>
      <c r="Q134" s="478" t="str">
        <f>IFERROR(VLOOKUP(G134,MODULY_CBA!$B$3:$I$23,6,0),"")</f>
        <v>Inkrement 2</v>
      </c>
      <c r="R134" s="382" t="s">
        <v>119</v>
      </c>
      <c r="S134" s="382" t="s">
        <v>119</v>
      </c>
      <c r="T134" s="382" t="s">
        <v>119</v>
      </c>
      <c r="U134" s="382" t="s">
        <v>119</v>
      </c>
      <c r="V134" s="382" t="s">
        <v>119</v>
      </c>
      <c r="W134" s="382" t="s">
        <v>119</v>
      </c>
      <c r="X134" s="382" t="s">
        <v>119</v>
      </c>
      <c r="Y134" s="382" t="s">
        <v>119</v>
      </c>
      <c r="Z134" s="382" t="s">
        <v>119</v>
      </c>
      <c r="AA134" s="382" t="s">
        <v>119</v>
      </c>
      <c r="AB134" s="382" t="s">
        <v>119</v>
      </c>
      <c r="AC134" s="382" t="s">
        <v>119</v>
      </c>
      <c r="AD134" s="382" t="s">
        <v>119</v>
      </c>
      <c r="AE134" s="382" t="s">
        <v>119</v>
      </c>
    </row>
    <row r="135" spans="1:31" ht="25.5">
      <c r="A135" s="401">
        <v>133</v>
      </c>
      <c r="B135" s="401" t="s">
        <v>475</v>
      </c>
      <c r="C135" s="530" t="s">
        <v>476</v>
      </c>
      <c r="D135" s="530" t="s">
        <v>609</v>
      </c>
      <c r="E135" s="530"/>
      <c r="F135" s="389" t="s">
        <v>8</v>
      </c>
      <c r="G135" s="389" t="s">
        <v>255</v>
      </c>
      <c r="H135" s="379">
        <v>2</v>
      </c>
      <c r="I135" s="379">
        <v>5</v>
      </c>
      <c r="J135" s="379">
        <f t="shared" si="10"/>
        <v>2</v>
      </c>
      <c r="K135" s="379">
        <f t="shared" si="11"/>
        <v>10</v>
      </c>
      <c r="L135" s="643">
        <f>IFERROR(IF(B135="funkcna poziadavka",VLOOKUP(G135,MODULY_CBA!$B$3:$E$23,4,0)*H135/SUMIFS($H$3:$H$199,$G$3:$G$199,G135,$B$3:$B$199,B135),),)</f>
        <v>0.21323529411764705</v>
      </c>
      <c r="M135" s="379">
        <f>IFERROR(IF(B135="Funkcna poziadavka",VLOOKUP(G135,MODULY_CBA!$B$3:$E$23,3,0),),)</f>
        <v>0.93499999999999994</v>
      </c>
      <c r="N135" s="379">
        <f>IFERROR(IF(B135="funkcna poziadavka",VLOOKUP(G135,MODULY_CBA!$B$3:$E$23,2,0),),)</f>
        <v>1.18</v>
      </c>
      <c r="O135" s="378">
        <f t="shared" si="9"/>
        <v>11.268262499999999</v>
      </c>
      <c r="P135" s="377">
        <f>IFERROR(O135*VLOOKUP(G135,MODULY_CBA!$B$3:$F$23,5,0),)</f>
        <v>338.04787499999998</v>
      </c>
      <c r="Q135" s="478" t="str">
        <f>IFERROR(VLOOKUP(G135,MODULY_CBA!$B$3:$I$23,6,0),"")</f>
        <v>Inkrement 2</v>
      </c>
      <c r="R135" s="382" t="s">
        <v>119</v>
      </c>
      <c r="S135" s="382" t="s">
        <v>119</v>
      </c>
      <c r="T135" s="382" t="s">
        <v>119</v>
      </c>
      <c r="U135" s="382" t="s">
        <v>119</v>
      </c>
      <c r="V135" s="382" t="s">
        <v>119</v>
      </c>
      <c r="W135" s="382" t="s">
        <v>119</v>
      </c>
      <c r="X135" s="382" t="s">
        <v>119</v>
      </c>
      <c r="Y135" s="382" t="s">
        <v>119</v>
      </c>
      <c r="Z135" s="382" t="s">
        <v>119</v>
      </c>
      <c r="AA135" s="382" t="s">
        <v>119</v>
      </c>
      <c r="AB135" s="382" t="s">
        <v>119</v>
      </c>
      <c r="AC135" s="382" t="s">
        <v>119</v>
      </c>
      <c r="AD135" s="382" t="s">
        <v>119</v>
      </c>
      <c r="AE135" s="382" t="s">
        <v>119</v>
      </c>
    </row>
    <row r="136" spans="1:31" ht="25.5">
      <c r="A136" s="401">
        <v>134</v>
      </c>
      <c r="B136" s="401" t="s">
        <v>475</v>
      </c>
      <c r="C136" s="530" t="s">
        <v>476</v>
      </c>
      <c r="D136" s="530" t="s">
        <v>610</v>
      </c>
      <c r="E136" s="530"/>
      <c r="F136" s="389" t="s">
        <v>8</v>
      </c>
      <c r="G136" s="389" t="s">
        <v>255</v>
      </c>
      <c r="H136" s="379">
        <v>2</v>
      </c>
      <c r="I136" s="379">
        <v>5</v>
      </c>
      <c r="J136" s="379">
        <f t="shared" si="10"/>
        <v>2</v>
      </c>
      <c r="K136" s="379">
        <f t="shared" si="11"/>
        <v>10</v>
      </c>
      <c r="L136" s="643">
        <f>IFERROR(IF(B136="funkcna poziadavka",VLOOKUP(G136,MODULY_CBA!$B$3:$E$23,4,0)*H136/SUMIFS($H$3:$H$199,$G$3:$G$199,G136,$B$3:$B$199,B136),),)</f>
        <v>0.21323529411764705</v>
      </c>
      <c r="M136" s="379">
        <f>IFERROR(IF(B136="Funkcna poziadavka",VLOOKUP(G136,MODULY_CBA!$B$3:$E$23,3,0),),)</f>
        <v>0.93499999999999994</v>
      </c>
      <c r="N136" s="379">
        <f>IFERROR(IF(B136="funkcna poziadavka",VLOOKUP(G136,MODULY_CBA!$B$3:$E$23,2,0),),)</f>
        <v>1.18</v>
      </c>
      <c r="O136" s="378">
        <f t="shared" si="9"/>
        <v>11.268262499999999</v>
      </c>
      <c r="P136" s="377">
        <f>IFERROR(O136*VLOOKUP(G136,MODULY_CBA!$B$3:$F$23,5,0),)</f>
        <v>338.04787499999998</v>
      </c>
      <c r="Q136" s="478" t="str">
        <f>IFERROR(VLOOKUP(G136,MODULY_CBA!$B$3:$I$23,6,0),"")</f>
        <v>Inkrement 2</v>
      </c>
      <c r="R136" s="382"/>
      <c r="S136" s="382"/>
      <c r="T136" s="382"/>
      <c r="U136" s="382"/>
      <c r="V136" s="382"/>
      <c r="W136" s="382"/>
      <c r="X136" s="382"/>
      <c r="Y136" s="382"/>
      <c r="Z136" s="382"/>
      <c r="AA136" s="382"/>
      <c r="AB136" s="382"/>
      <c r="AC136" s="382"/>
      <c r="AD136" s="382"/>
      <c r="AE136" s="382"/>
    </row>
    <row r="137" spans="1:31" ht="25.5">
      <c r="A137" s="401">
        <v>135</v>
      </c>
      <c r="B137" s="401" t="s">
        <v>475</v>
      </c>
      <c r="C137" s="530" t="s">
        <v>476</v>
      </c>
      <c r="D137" s="530" t="s">
        <v>611</v>
      </c>
      <c r="E137" s="530"/>
      <c r="F137" s="389" t="s">
        <v>8</v>
      </c>
      <c r="G137" s="389" t="s">
        <v>255</v>
      </c>
      <c r="H137" s="379">
        <v>2</v>
      </c>
      <c r="I137" s="379">
        <v>5</v>
      </c>
      <c r="J137" s="379">
        <f t="shared" si="10"/>
        <v>2</v>
      </c>
      <c r="K137" s="379">
        <f t="shared" si="11"/>
        <v>10</v>
      </c>
      <c r="L137" s="643">
        <f>IFERROR(IF(B137="funkcna poziadavka",VLOOKUP(G137,MODULY_CBA!$B$3:$E$23,4,0)*H137/SUMIFS($H$3:$H$199,$G$3:$G$199,G137,$B$3:$B$199,B137),),)</f>
        <v>0.21323529411764705</v>
      </c>
      <c r="M137" s="379">
        <f>IFERROR(IF(B137="Funkcna poziadavka",VLOOKUP(G137,MODULY_CBA!$B$3:$E$23,3,0),),)</f>
        <v>0.93499999999999994</v>
      </c>
      <c r="N137" s="379">
        <f>IFERROR(IF(B137="funkcna poziadavka",VLOOKUP(G137,MODULY_CBA!$B$3:$E$23,2,0),),)</f>
        <v>1.18</v>
      </c>
      <c r="O137" s="378">
        <f t="shared" si="9"/>
        <v>11.268262499999999</v>
      </c>
      <c r="P137" s="377">
        <f>IFERROR(O137*VLOOKUP(G137,MODULY_CBA!$B$3:$F$23,5,0),)</f>
        <v>338.04787499999998</v>
      </c>
      <c r="Q137" s="478" t="str">
        <f>IFERROR(VLOOKUP(G137,MODULY_CBA!$B$3:$I$23,6,0),"")</f>
        <v>Inkrement 2</v>
      </c>
      <c r="R137" s="382"/>
      <c r="S137" s="382"/>
      <c r="T137" s="382"/>
      <c r="U137" s="382"/>
      <c r="V137" s="382"/>
      <c r="W137" s="382"/>
      <c r="X137" s="382"/>
      <c r="Y137" s="382"/>
      <c r="Z137" s="382"/>
      <c r="AA137" s="382"/>
      <c r="AB137" s="382"/>
      <c r="AC137" s="382"/>
      <c r="AD137" s="382"/>
      <c r="AE137" s="382"/>
    </row>
    <row r="138" spans="1:31" ht="25.5">
      <c r="A138" s="401">
        <v>136</v>
      </c>
      <c r="B138" s="401" t="s">
        <v>475</v>
      </c>
      <c r="C138" s="530" t="s">
        <v>476</v>
      </c>
      <c r="D138" s="530" t="s">
        <v>612</v>
      </c>
      <c r="E138" s="530"/>
      <c r="F138" s="389" t="s">
        <v>8</v>
      </c>
      <c r="G138" s="389" t="s">
        <v>255</v>
      </c>
      <c r="H138" s="379">
        <v>2</v>
      </c>
      <c r="I138" s="379">
        <v>5</v>
      </c>
      <c r="J138" s="379">
        <f t="shared" si="10"/>
        <v>2</v>
      </c>
      <c r="K138" s="379">
        <f t="shared" si="11"/>
        <v>10</v>
      </c>
      <c r="L138" s="643">
        <f>IFERROR(IF(B138="funkcna poziadavka",VLOOKUP(G138,MODULY_CBA!$B$3:$E$23,4,0)*H138/SUMIFS($H$3:$H$199,$G$3:$G$199,G138,$B$3:$B$199,B138),),)</f>
        <v>0.21323529411764705</v>
      </c>
      <c r="M138" s="379">
        <f>IFERROR(IF(B138="Funkcna poziadavka",VLOOKUP(G138,MODULY_CBA!$B$3:$E$23,3,0),),)</f>
        <v>0.93499999999999994</v>
      </c>
      <c r="N138" s="379">
        <f>IFERROR(IF(B138="funkcna poziadavka",VLOOKUP(G138,MODULY_CBA!$B$3:$E$23,2,0),),)</f>
        <v>1.18</v>
      </c>
      <c r="O138" s="378">
        <f t="shared" si="9"/>
        <v>11.268262499999999</v>
      </c>
      <c r="P138" s="377">
        <f>IFERROR(O138*VLOOKUP(G138,MODULY_CBA!$B$3:$F$23,5,0),)</f>
        <v>338.04787499999998</v>
      </c>
      <c r="Q138" s="478" t="str">
        <f>IFERROR(VLOOKUP(G138,MODULY_CBA!$B$3:$I$23,6,0),"")</f>
        <v>Inkrement 2</v>
      </c>
      <c r="R138" s="382" t="s">
        <v>119</v>
      </c>
      <c r="S138" s="382" t="s">
        <v>119</v>
      </c>
      <c r="T138" s="382" t="s">
        <v>119</v>
      </c>
      <c r="U138" s="382" t="s">
        <v>119</v>
      </c>
      <c r="V138" s="382" t="s">
        <v>119</v>
      </c>
      <c r="W138" s="382" t="s">
        <v>119</v>
      </c>
      <c r="X138" s="382" t="s">
        <v>119</v>
      </c>
      <c r="Y138" s="382" t="s">
        <v>119</v>
      </c>
      <c r="Z138" s="382" t="s">
        <v>119</v>
      </c>
      <c r="AA138" s="382" t="s">
        <v>119</v>
      </c>
      <c r="AB138" s="382" t="s">
        <v>119</v>
      </c>
      <c r="AC138" s="382" t="s">
        <v>119</v>
      </c>
      <c r="AD138" s="382" t="s">
        <v>119</v>
      </c>
      <c r="AE138" s="382" t="s">
        <v>119</v>
      </c>
    </row>
    <row r="139" spans="1:31">
      <c r="A139" s="401">
        <v>137</v>
      </c>
      <c r="B139" s="401" t="s">
        <v>475</v>
      </c>
      <c r="C139" s="530" t="s">
        <v>613</v>
      </c>
      <c r="D139" s="530" t="s">
        <v>614</v>
      </c>
      <c r="E139" s="389"/>
      <c r="F139" s="389" t="s">
        <v>8</v>
      </c>
      <c r="G139" s="380" t="s">
        <v>262</v>
      </c>
      <c r="H139" s="379">
        <v>1</v>
      </c>
      <c r="I139" s="379">
        <v>15</v>
      </c>
      <c r="J139" s="379">
        <f t="shared" si="10"/>
        <v>1</v>
      </c>
      <c r="K139" s="379">
        <f t="shared" si="11"/>
        <v>15</v>
      </c>
      <c r="L139" s="643">
        <f>IFERROR(IF(B139="funkcna poziadavka",VLOOKUP(G139,MODULY_CBA!$B$3:$E$23,4,0)*H139/SUMIFS($H$3:$H$199,$G$3:$G$199,G139,$B$3:$B$199,B139),),)</f>
        <v>0.47540983606557374</v>
      </c>
      <c r="M139" s="379">
        <f>IFERROR(IF(B139="Funkcna poziadavka",VLOOKUP(G139,MODULY_CBA!$B$3:$E$23,3,0),),)</f>
        <v>0.93499999999999994</v>
      </c>
      <c r="N139" s="379">
        <f>IFERROR(IF(B139="funkcna poziadavka",VLOOKUP(G139,MODULY_CBA!$B$3:$E$23,2,0),),)</f>
        <v>1.18</v>
      </c>
      <c r="O139" s="378">
        <f t="shared" si="9"/>
        <v>17.074019672131147</v>
      </c>
      <c r="P139" s="377">
        <f>IFERROR(O139*VLOOKUP(G139,MODULY_CBA!$B$3:$F$23,5,0),)</f>
        <v>512.22059016393439</v>
      </c>
      <c r="Q139" s="478" t="str">
        <f>IFERROR(VLOOKUP(G139,MODULY_CBA!$B$3:$I$23,6,0),"")</f>
        <v>Inkrement 3</v>
      </c>
      <c r="R139" s="382"/>
      <c r="S139" s="382"/>
      <c r="T139" s="382"/>
      <c r="U139" s="382"/>
      <c r="V139" s="382"/>
      <c r="W139" s="382"/>
      <c r="X139" s="382"/>
      <c r="Y139" s="382"/>
      <c r="Z139" s="382"/>
      <c r="AA139" s="382"/>
      <c r="AB139" s="382"/>
      <c r="AC139" s="382"/>
      <c r="AD139" s="382"/>
      <c r="AE139" s="382"/>
    </row>
    <row r="140" spans="1:31">
      <c r="A140" s="401">
        <v>138</v>
      </c>
      <c r="B140" s="401" t="s">
        <v>475</v>
      </c>
      <c r="C140" s="530" t="s">
        <v>613</v>
      </c>
      <c r="D140" s="530" t="s">
        <v>615</v>
      </c>
      <c r="E140" s="389"/>
      <c r="F140" s="389" t="s">
        <v>8</v>
      </c>
      <c r="G140" s="380" t="s">
        <v>262</v>
      </c>
      <c r="H140" s="379">
        <v>1</v>
      </c>
      <c r="I140" s="379">
        <v>15</v>
      </c>
      <c r="J140" s="379">
        <f t="shared" si="10"/>
        <v>1</v>
      </c>
      <c r="K140" s="379">
        <f t="shared" si="11"/>
        <v>15</v>
      </c>
      <c r="L140" s="643">
        <f>IFERROR(IF(B140="funkcna poziadavka",VLOOKUP(G140,MODULY_CBA!$B$3:$E$23,4,0)*H140/SUMIFS($H$3:$H$199,$G$3:$G$199,G140,$B$3:$B$199,B140),),)</f>
        <v>0.47540983606557374</v>
      </c>
      <c r="M140" s="379">
        <f>IFERROR(IF(B140="Funkcna poziadavka",VLOOKUP(G140,MODULY_CBA!$B$3:$E$23,3,0),),)</f>
        <v>0.93499999999999994</v>
      </c>
      <c r="N140" s="379">
        <f>IFERROR(IF(B140="funkcna poziadavka",VLOOKUP(G140,MODULY_CBA!$B$3:$E$23,2,0),),)</f>
        <v>1.18</v>
      </c>
      <c r="O140" s="378">
        <f t="shared" si="9"/>
        <v>17.074019672131147</v>
      </c>
      <c r="P140" s="377">
        <f>IFERROR(O140*VLOOKUP(G140,MODULY_CBA!$B$3:$F$23,5,0),)</f>
        <v>512.22059016393439</v>
      </c>
      <c r="Q140" s="478" t="str">
        <f>IFERROR(VLOOKUP(G140,MODULY_CBA!$B$3:$I$23,6,0),"")</f>
        <v>Inkrement 3</v>
      </c>
      <c r="R140" s="382"/>
      <c r="S140" s="382"/>
      <c r="T140" s="382"/>
      <c r="U140" s="382"/>
      <c r="V140" s="382"/>
      <c r="W140" s="382"/>
      <c r="X140" s="382"/>
      <c r="Y140" s="382"/>
      <c r="Z140" s="382"/>
      <c r="AA140" s="382"/>
      <c r="AB140" s="382"/>
      <c r="AC140" s="382"/>
      <c r="AD140" s="382"/>
      <c r="AE140" s="382"/>
    </row>
    <row r="141" spans="1:31">
      <c r="A141" s="401">
        <v>139</v>
      </c>
      <c r="B141" s="401" t="s">
        <v>475</v>
      </c>
      <c r="C141" s="530" t="s">
        <v>613</v>
      </c>
      <c r="D141" s="530" t="s">
        <v>616</v>
      </c>
      <c r="E141" s="389"/>
      <c r="F141" s="389" t="s">
        <v>8</v>
      </c>
      <c r="G141" s="380" t="s">
        <v>262</v>
      </c>
      <c r="H141" s="379">
        <v>1</v>
      </c>
      <c r="I141" s="379">
        <v>15</v>
      </c>
      <c r="J141" s="379">
        <f t="shared" si="10"/>
        <v>1</v>
      </c>
      <c r="K141" s="379">
        <f t="shared" si="11"/>
        <v>15</v>
      </c>
      <c r="L141" s="643">
        <f>IFERROR(IF(B141="funkcna poziadavka",VLOOKUP(G141,MODULY_CBA!$B$3:$E$23,4,0)*H141/SUMIFS($H$3:$H$199,$G$3:$G$199,G141,$B$3:$B$199,B141),),)</f>
        <v>0.47540983606557374</v>
      </c>
      <c r="M141" s="379">
        <f>IFERROR(IF(B141="Funkcna poziadavka",VLOOKUP(G141,MODULY_CBA!$B$3:$E$23,3,0),),)</f>
        <v>0.93499999999999994</v>
      </c>
      <c r="N141" s="379">
        <f>IFERROR(IF(B141="funkcna poziadavka",VLOOKUP(G141,MODULY_CBA!$B$3:$E$23,2,0),),)</f>
        <v>1.18</v>
      </c>
      <c r="O141" s="378">
        <f t="shared" si="9"/>
        <v>17.074019672131147</v>
      </c>
      <c r="P141" s="377">
        <f>IFERROR(O141*VLOOKUP(G141,MODULY_CBA!$B$3:$F$23,5,0),)</f>
        <v>512.22059016393439</v>
      </c>
      <c r="Q141" s="478" t="str">
        <f>IFERROR(VLOOKUP(G141,MODULY_CBA!$B$3:$I$23,6,0),"")</f>
        <v>Inkrement 3</v>
      </c>
      <c r="R141" s="382" t="s">
        <v>119</v>
      </c>
      <c r="S141" s="382" t="s">
        <v>119</v>
      </c>
      <c r="T141" s="382" t="s">
        <v>119</v>
      </c>
      <c r="U141" s="382" t="s">
        <v>119</v>
      </c>
      <c r="V141" s="382" t="s">
        <v>119</v>
      </c>
      <c r="W141" s="382" t="s">
        <v>119</v>
      </c>
      <c r="X141" s="382" t="s">
        <v>119</v>
      </c>
      <c r="Y141" s="382" t="s">
        <v>119</v>
      </c>
      <c r="Z141" s="382" t="s">
        <v>119</v>
      </c>
      <c r="AA141" s="382" t="s">
        <v>119</v>
      </c>
      <c r="AB141" s="382" t="s">
        <v>119</v>
      </c>
      <c r="AC141" s="382" t="s">
        <v>119</v>
      </c>
      <c r="AD141" s="382" t="s">
        <v>119</v>
      </c>
      <c r="AE141" s="382" t="s">
        <v>119</v>
      </c>
    </row>
    <row r="142" spans="1:31">
      <c r="A142" s="401">
        <v>140</v>
      </c>
      <c r="B142" s="401" t="s">
        <v>475</v>
      </c>
      <c r="C142" s="530" t="s">
        <v>613</v>
      </c>
      <c r="D142" s="530" t="s">
        <v>617</v>
      </c>
      <c r="E142" s="389"/>
      <c r="F142" s="389" t="s">
        <v>8</v>
      </c>
      <c r="G142" s="380" t="s">
        <v>262</v>
      </c>
      <c r="H142" s="379">
        <v>1</v>
      </c>
      <c r="I142" s="379">
        <v>15</v>
      </c>
      <c r="J142" s="379">
        <f t="shared" si="10"/>
        <v>1</v>
      </c>
      <c r="K142" s="379">
        <f t="shared" si="11"/>
        <v>15</v>
      </c>
      <c r="L142" s="643">
        <f>IFERROR(IF(B142="funkcna poziadavka",VLOOKUP(G142,MODULY_CBA!$B$3:$E$23,4,0)*H142/SUMIFS($H$3:$H$199,$G$3:$G$199,G142,$B$3:$B$199,B142),),)</f>
        <v>0.47540983606557374</v>
      </c>
      <c r="M142" s="379">
        <f>IFERROR(IF(B142="Funkcna poziadavka",VLOOKUP(G142,MODULY_CBA!$B$3:$E$23,3,0),),)</f>
        <v>0.93499999999999994</v>
      </c>
      <c r="N142" s="379">
        <f>IFERROR(IF(B142="funkcna poziadavka",VLOOKUP(G142,MODULY_CBA!$B$3:$E$23,2,0),),)</f>
        <v>1.18</v>
      </c>
      <c r="O142" s="378">
        <f t="shared" si="9"/>
        <v>17.074019672131147</v>
      </c>
      <c r="P142" s="377">
        <f>IFERROR(O142*VLOOKUP(G142,MODULY_CBA!$B$3:$F$23,5,0),)</f>
        <v>512.22059016393439</v>
      </c>
      <c r="Q142" s="478" t="str">
        <f>IFERROR(VLOOKUP(G142,MODULY_CBA!$B$3:$I$23,6,0),"")</f>
        <v>Inkrement 3</v>
      </c>
      <c r="R142" s="382" t="s">
        <v>119</v>
      </c>
      <c r="S142" s="382" t="s">
        <v>119</v>
      </c>
      <c r="T142" s="382" t="s">
        <v>119</v>
      </c>
      <c r="U142" s="382" t="s">
        <v>119</v>
      </c>
      <c r="V142" s="382" t="s">
        <v>119</v>
      </c>
      <c r="W142" s="382" t="s">
        <v>119</v>
      </c>
      <c r="X142" s="382" t="s">
        <v>119</v>
      </c>
      <c r="Y142" s="382" t="s">
        <v>119</v>
      </c>
      <c r="Z142" s="382" t="s">
        <v>119</v>
      </c>
      <c r="AA142" s="382" t="s">
        <v>119</v>
      </c>
      <c r="AB142" s="382" t="s">
        <v>119</v>
      </c>
      <c r="AC142" s="382" t="s">
        <v>119</v>
      </c>
      <c r="AD142" s="382" t="s">
        <v>119</v>
      </c>
      <c r="AE142" s="382" t="s">
        <v>119</v>
      </c>
    </row>
    <row r="143" spans="1:31">
      <c r="A143" s="401">
        <v>141</v>
      </c>
      <c r="B143" s="401" t="s">
        <v>475</v>
      </c>
      <c r="C143" s="530" t="s">
        <v>613</v>
      </c>
      <c r="D143" s="530" t="s">
        <v>618</v>
      </c>
      <c r="E143" s="389"/>
      <c r="F143" s="389" t="s">
        <v>8</v>
      </c>
      <c r="G143" s="380" t="s">
        <v>262</v>
      </c>
      <c r="H143" s="379">
        <v>1</v>
      </c>
      <c r="I143" s="379">
        <v>15</v>
      </c>
      <c r="J143" s="379">
        <f t="shared" si="10"/>
        <v>1</v>
      </c>
      <c r="K143" s="379">
        <f t="shared" si="11"/>
        <v>15</v>
      </c>
      <c r="L143" s="643">
        <f>IFERROR(IF(B143="funkcna poziadavka",VLOOKUP(G143,MODULY_CBA!$B$3:$E$23,4,0)*H143/SUMIFS($H$3:$H$199,$G$3:$G$199,G143,$B$3:$B$199,B143),),)</f>
        <v>0.47540983606557374</v>
      </c>
      <c r="M143" s="379">
        <f>IFERROR(IF(B143="Funkcna poziadavka",VLOOKUP(G143,MODULY_CBA!$B$3:$E$23,3,0),),)</f>
        <v>0.93499999999999994</v>
      </c>
      <c r="N143" s="379">
        <f>IFERROR(IF(B143="funkcna poziadavka",VLOOKUP(G143,MODULY_CBA!$B$3:$E$23,2,0),),)</f>
        <v>1.18</v>
      </c>
      <c r="O143" s="378">
        <f t="shared" si="9"/>
        <v>17.074019672131147</v>
      </c>
      <c r="P143" s="377">
        <f>IFERROR(O143*VLOOKUP(G143,MODULY_CBA!$B$3:$F$23,5,0),)</f>
        <v>512.22059016393439</v>
      </c>
      <c r="Q143" s="478" t="str">
        <f>IFERROR(VLOOKUP(G143,MODULY_CBA!$B$3:$I$23,6,0),"")</f>
        <v>Inkrement 3</v>
      </c>
      <c r="R143" s="382"/>
      <c r="S143" s="382"/>
      <c r="T143" s="382"/>
      <c r="U143" s="382"/>
      <c r="V143" s="382"/>
      <c r="W143" s="382"/>
      <c r="X143" s="382"/>
      <c r="Y143" s="382"/>
      <c r="Z143" s="382"/>
      <c r="AA143" s="382"/>
      <c r="AB143" s="382"/>
      <c r="AC143" s="382"/>
      <c r="AD143" s="382"/>
      <c r="AE143" s="382"/>
    </row>
    <row r="144" spans="1:31">
      <c r="A144" s="401">
        <v>142</v>
      </c>
      <c r="B144" s="401" t="s">
        <v>475</v>
      </c>
      <c r="C144" s="530" t="s">
        <v>613</v>
      </c>
      <c r="D144" s="530" t="s">
        <v>619</v>
      </c>
      <c r="E144" s="389"/>
      <c r="F144" s="389" t="s">
        <v>8</v>
      </c>
      <c r="G144" s="380" t="s">
        <v>262</v>
      </c>
      <c r="H144" s="379">
        <v>1</v>
      </c>
      <c r="I144" s="379">
        <v>15</v>
      </c>
      <c r="J144" s="379">
        <f t="shared" si="10"/>
        <v>1</v>
      </c>
      <c r="K144" s="379">
        <f t="shared" si="11"/>
        <v>15</v>
      </c>
      <c r="L144" s="643">
        <f>IFERROR(IF(B144="funkcna poziadavka",VLOOKUP(G144,MODULY_CBA!$B$3:$E$23,4,0)*H144/SUMIFS($H$3:$H$199,$G$3:$G$199,G144,$B$3:$B$199,B144),),)</f>
        <v>0.47540983606557374</v>
      </c>
      <c r="M144" s="379">
        <f>IFERROR(IF(B144="Funkcna poziadavka",VLOOKUP(G144,MODULY_CBA!$B$3:$E$23,3,0),),)</f>
        <v>0.93499999999999994</v>
      </c>
      <c r="N144" s="379">
        <f>IFERROR(IF(B144="funkcna poziadavka",VLOOKUP(G144,MODULY_CBA!$B$3:$E$23,2,0),),)</f>
        <v>1.18</v>
      </c>
      <c r="O144" s="378">
        <f t="shared" si="9"/>
        <v>17.074019672131147</v>
      </c>
      <c r="P144" s="377">
        <f>IFERROR(O144*VLOOKUP(G144,MODULY_CBA!$B$3:$F$23,5,0),)</f>
        <v>512.22059016393439</v>
      </c>
      <c r="Q144" s="478" t="str">
        <f>IFERROR(VLOOKUP(G144,MODULY_CBA!$B$3:$I$23,6,0),"")</f>
        <v>Inkrement 3</v>
      </c>
      <c r="R144" s="382" t="s">
        <v>119</v>
      </c>
      <c r="S144" s="382" t="s">
        <v>119</v>
      </c>
      <c r="T144" s="382" t="s">
        <v>119</v>
      </c>
      <c r="U144" s="382" t="s">
        <v>119</v>
      </c>
      <c r="V144" s="382" t="s">
        <v>119</v>
      </c>
      <c r="W144" s="382" t="s">
        <v>119</v>
      </c>
      <c r="X144" s="382" t="s">
        <v>119</v>
      </c>
      <c r="Y144" s="382" t="s">
        <v>119</v>
      </c>
      <c r="Z144" s="382" t="s">
        <v>119</v>
      </c>
      <c r="AA144" s="382" t="s">
        <v>119</v>
      </c>
      <c r="AB144" s="382" t="s">
        <v>119</v>
      </c>
      <c r="AC144" s="382" t="s">
        <v>119</v>
      </c>
      <c r="AD144" s="382" t="s">
        <v>119</v>
      </c>
      <c r="AE144" s="382" t="s">
        <v>119</v>
      </c>
    </row>
    <row r="145" spans="1:31">
      <c r="A145" s="401">
        <v>143</v>
      </c>
      <c r="B145" s="401" t="s">
        <v>475</v>
      </c>
      <c r="C145" s="530" t="s">
        <v>613</v>
      </c>
      <c r="D145" s="530" t="s">
        <v>620</v>
      </c>
      <c r="E145" s="389"/>
      <c r="F145" s="389" t="s">
        <v>8</v>
      </c>
      <c r="G145" s="380" t="s">
        <v>262</v>
      </c>
      <c r="H145" s="379">
        <v>1</v>
      </c>
      <c r="I145" s="379">
        <v>15</v>
      </c>
      <c r="J145" s="379">
        <f t="shared" si="10"/>
        <v>1</v>
      </c>
      <c r="K145" s="379">
        <f t="shared" si="11"/>
        <v>15</v>
      </c>
      <c r="L145" s="643">
        <f>IFERROR(IF(B145="funkcna poziadavka",VLOOKUP(G145,MODULY_CBA!$B$3:$E$23,4,0)*H145/SUMIFS($H$3:$H$199,$G$3:$G$199,G145,$B$3:$B$199,B145),),)</f>
        <v>0.47540983606557374</v>
      </c>
      <c r="M145" s="379">
        <f>IFERROR(IF(B145="Funkcna poziadavka",VLOOKUP(G145,MODULY_CBA!$B$3:$E$23,3,0),),)</f>
        <v>0.93499999999999994</v>
      </c>
      <c r="N145" s="379">
        <f>IFERROR(IF(B145="funkcna poziadavka",VLOOKUP(G145,MODULY_CBA!$B$3:$E$23,2,0),),)</f>
        <v>1.18</v>
      </c>
      <c r="O145" s="378">
        <f t="shared" si="9"/>
        <v>17.074019672131147</v>
      </c>
      <c r="P145" s="377">
        <f>IFERROR(O145*VLOOKUP(G145,MODULY_CBA!$B$3:$F$23,5,0),)</f>
        <v>512.22059016393439</v>
      </c>
      <c r="Q145" s="478" t="str">
        <f>IFERROR(VLOOKUP(G145,MODULY_CBA!$B$3:$I$23,6,0),"")</f>
        <v>Inkrement 3</v>
      </c>
      <c r="R145" s="382"/>
      <c r="S145" s="382"/>
      <c r="T145" s="382"/>
      <c r="U145" s="382"/>
      <c r="V145" s="382"/>
      <c r="W145" s="382"/>
      <c r="X145" s="382"/>
      <c r="Y145" s="382"/>
      <c r="Z145" s="382"/>
      <c r="AA145" s="382"/>
      <c r="AB145" s="382"/>
      <c r="AC145" s="382"/>
      <c r="AD145" s="382"/>
      <c r="AE145" s="382"/>
    </row>
    <row r="146" spans="1:31">
      <c r="A146" s="401">
        <v>144</v>
      </c>
      <c r="B146" s="401" t="s">
        <v>475</v>
      </c>
      <c r="C146" s="530" t="s">
        <v>613</v>
      </c>
      <c r="D146" s="530" t="s">
        <v>621</v>
      </c>
      <c r="E146" s="389"/>
      <c r="F146" s="389" t="s">
        <v>8</v>
      </c>
      <c r="G146" s="380" t="s">
        <v>262</v>
      </c>
      <c r="H146" s="379">
        <v>1</v>
      </c>
      <c r="I146" s="379">
        <v>15</v>
      </c>
      <c r="J146" s="379">
        <f t="shared" si="10"/>
        <v>1</v>
      </c>
      <c r="K146" s="379">
        <f t="shared" si="11"/>
        <v>15</v>
      </c>
      <c r="L146" s="643">
        <f>IFERROR(IF(B146="funkcna poziadavka",VLOOKUP(G146,MODULY_CBA!$B$3:$E$23,4,0)*H146/SUMIFS($H$3:$H$199,$G$3:$G$199,G146,$B$3:$B$199,B146),),)</f>
        <v>0.47540983606557374</v>
      </c>
      <c r="M146" s="379">
        <f>IFERROR(IF(B146="Funkcna poziadavka",VLOOKUP(G146,MODULY_CBA!$B$3:$E$23,3,0),),)</f>
        <v>0.93499999999999994</v>
      </c>
      <c r="N146" s="379">
        <f>IFERROR(IF(B146="funkcna poziadavka",VLOOKUP(G146,MODULY_CBA!$B$3:$E$23,2,0),),)</f>
        <v>1.18</v>
      </c>
      <c r="O146" s="378">
        <f t="shared" si="9"/>
        <v>17.074019672131147</v>
      </c>
      <c r="P146" s="377">
        <f>IFERROR(O146*VLOOKUP(G146,MODULY_CBA!$B$3:$F$23,5,0),)</f>
        <v>512.22059016393439</v>
      </c>
      <c r="Q146" s="478" t="str">
        <f>IFERROR(VLOOKUP(G146,MODULY_CBA!$B$3:$I$23,6,0),"")</f>
        <v>Inkrement 3</v>
      </c>
      <c r="R146" s="382"/>
      <c r="S146" s="382"/>
      <c r="T146" s="382"/>
      <c r="U146" s="382"/>
      <c r="V146" s="382"/>
      <c r="W146" s="382"/>
      <c r="X146" s="382"/>
      <c r="Y146" s="382"/>
      <c r="Z146" s="382"/>
      <c r="AA146" s="382"/>
      <c r="AB146" s="382"/>
      <c r="AC146" s="382"/>
      <c r="AD146" s="382"/>
      <c r="AE146" s="382"/>
    </row>
    <row r="147" spans="1:31">
      <c r="A147" s="401">
        <v>145</v>
      </c>
      <c r="B147" s="401" t="s">
        <v>475</v>
      </c>
      <c r="C147" s="530" t="s">
        <v>613</v>
      </c>
      <c r="D147" s="530" t="s">
        <v>622</v>
      </c>
      <c r="E147" s="389"/>
      <c r="F147" s="389" t="s">
        <v>8</v>
      </c>
      <c r="G147" s="380" t="s">
        <v>262</v>
      </c>
      <c r="H147" s="379">
        <v>1</v>
      </c>
      <c r="I147" s="379">
        <v>15</v>
      </c>
      <c r="J147" s="379">
        <f t="shared" si="10"/>
        <v>1</v>
      </c>
      <c r="K147" s="379">
        <f t="shared" si="11"/>
        <v>15</v>
      </c>
      <c r="L147" s="643">
        <f>IFERROR(IF(B147="funkcna poziadavka",VLOOKUP(G147,MODULY_CBA!$B$3:$E$23,4,0)*H147/SUMIFS($H$3:$H$199,$G$3:$G$199,G147,$B$3:$B$199,B147),),)</f>
        <v>0.47540983606557374</v>
      </c>
      <c r="M147" s="379">
        <f>IFERROR(IF(B147="Funkcna poziadavka",VLOOKUP(G147,MODULY_CBA!$B$3:$E$23,3,0),),)</f>
        <v>0.93499999999999994</v>
      </c>
      <c r="N147" s="379">
        <f>IFERROR(IF(B147="funkcna poziadavka",VLOOKUP(G147,MODULY_CBA!$B$3:$E$23,2,0),),)</f>
        <v>1.18</v>
      </c>
      <c r="O147" s="378">
        <f t="shared" si="9"/>
        <v>17.074019672131147</v>
      </c>
      <c r="P147" s="377">
        <f>IFERROR(O147*VLOOKUP(G147,MODULY_CBA!$B$3:$F$23,5,0),)</f>
        <v>512.22059016393439</v>
      </c>
      <c r="Q147" s="478" t="str">
        <f>IFERROR(VLOOKUP(G147,MODULY_CBA!$B$3:$I$23,6,0),"")</f>
        <v>Inkrement 3</v>
      </c>
      <c r="R147" s="382" t="s">
        <v>119</v>
      </c>
      <c r="S147" s="382" t="s">
        <v>119</v>
      </c>
      <c r="T147" s="382" t="s">
        <v>119</v>
      </c>
      <c r="U147" s="382" t="s">
        <v>119</v>
      </c>
      <c r="V147" s="382" t="s">
        <v>119</v>
      </c>
      <c r="W147" s="382" t="s">
        <v>119</v>
      </c>
      <c r="X147" s="382" t="s">
        <v>119</v>
      </c>
      <c r="Y147" s="382" t="s">
        <v>119</v>
      </c>
      <c r="Z147" s="382" t="s">
        <v>119</v>
      </c>
      <c r="AA147" s="382" t="s">
        <v>119</v>
      </c>
      <c r="AB147" s="382" t="s">
        <v>119</v>
      </c>
      <c r="AC147" s="382" t="s">
        <v>119</v>
      </c>
      <c r="AD147" s="382" t="s">
        <v>119</v>
      </c>
      <c r="AE147" s="382" t="s">
        <v>119</v>
      </c>
    </row>
    <row r="148" spans="1:31">
      <c r="A148" s="401">
        <v>146</v>
      </c>
      <c r="B148" s="401" t="s">
        <v>475</v>
      </c>
      <c r="C148" s="530" t="s">
        <v>613</v>
      </c>
      <c r="D148" s="530" t="s">
        <v>623</v>
      </c>
      <c r="E148" s="389"/>
      <c r="F148" s="389" t="s">
        <v>8</v>
      </c>
      <c r="G148" s="380" t="s">
        <v>262</v>
      </c>
      <c r="H148" s="379">
        <v>1</v>
      </c>
      <c r="I148" s="379">
        <v>15</v>
      </c>
      <c r="J148" s="379">
        <f t="shared" si="10"/>
        <v>1</v>
      </c>
      <c r="K148" s="379">
        <f t="shared" si="11"/>
        <v>15</v>
      </c>
      <c r="L148" s="643">
        <f>IFERROR(IF(B148="funkcna poziadavka",VLOOKUP(G148,MODULY_CBA!$B$3:$E$23,4,0)*H148/SUMIFS($H$3:$H$199,$G$3:$G$199,G148,$B$3:$B$199,B148),),)</f>
        <v>0.47540983606557374</v>
      </c>
      <c r="M148" s="379">
        <f>IFERROR(IF(B148="Funkcna poziadavka",VLOOKUP(G148,MODULY_CBA!$B$3:$E$23,3,0),),)</f>
        <v>0.93499999999999994</v>
      </c>
      <c r="N148" s="379">
        <f>IFERROR(IF(B148="funkcna poziadavka",VLOOKUP(G148,MODULY_CBA!$B$3:$E$23,2,0),),)</f>
        <v>1.18</v>
      </c>
      <c r="O148" s="378">
        <f t="shared" si="9"/>
        <v>17.074019672131147</v>
      </c>
      <c r="P148" s="377">
        <f>IFERROR(O148*VLOOKUP(G148,MODULY_CBA!$B$3:$F$23,5,0),)</f>
        <v>512.22059016393439</v>
      </c>
      <c r="Q148" s="478" t="str">
        <f>IFERROR(VLOOKUP(G148,MODULY_CBA!$B$3:$I$23,6,0),"")</f>
        <v>Inkrement 3</v>
      </c>
      <c r="R148" s="382"/>
      <c r="S148" s="382"/>
      <c r="T148" s="382"/>
      <c r="U148" s="382"/>
      <c r="V148" s="382"/>
      <c r="W148" s="382"/>
      <c r="X148" s="382"/>
      <c r="Y148" s="382"/>
      <c r="Z148" s="382"/>
      <c r="AA148" s="382"/>
      <c r="AB148" s="382"/>
      <c r="AC148" s="382"/>
      <c r="AD148" s="382"/>
      <c r="AE148" s="382"/>
    </row>
    <row r="149" spans="1:31">
      <c r="A149" s="401">
        <v>147</v>
      </c>
      <c r="B149" s="401" t="s">
        <v>475</v>
      </c>
      <c r="C149" s="530" t="s">
        <v>613</v>
      </c>
      <c r="D149" s="530" t="s">
        <v>624</v>
      </c>
      <c r="E149" s="389"/>
      <c r="F149" s="389" t="s">
        <v>8</v>
      </c>
      <c r="G149" s="380" t="s">
        <v>262</v>
      </c>
      <c r="H149" s="379">
        <v>1</v>
      </c>
      <c r="I149" s="379">
        <v>15</v>
      </c>
      <c r="J149" s="379">
        <f t="shared" si="10"/>
        <v>1</v>
      </c>
      <c r="K149" s="379">
        <f t="shared" si="11"/>
        <v>15</v>
      </c>
      <c r="L149" s="643">
        <f>IFERROR(IF(B149="funkcna poziadavka",VLOOKUP(G149,MODULY_CBA!$B$3:$E$23,4,0)*H149/SUMIFS($H$3:$H$199,$G$3:$G$199,G149,$B$3:$B$199,B149),),)</f>
        <v>0.47540983606557374</v>
      </c>
      <c r="M149" s="379">
        <f>IFERROR(IF(B149="Funkcna poziadavka",VLOOKUP(G149,MODULY_CBA!$B$3:$E$23,3,0),),)</f>
        <v>0.93499999999999994</v>
      </c>
      <c r="N149" s="379">
        <f>IFERROR(IF(B149="funkcna poziadavka",VLOOKUP(G149,MODULY_CBA!$B$3:$E$23,2,0),),)</f>
        <v>1.18</v>
      </c>
      <c r="O149" s="378">
        <f t="shared" si="9"/>
        <v>17.074019672131147</v>
      </c>
      <c r="P149" s="377">
        <f>IFERROR(O149*VLOOKUP(G149,MODULY_CBA!$B$3:$F$23,5,0),)</f>
        <v>512.22059016393439</v>
      </c>
      <c r="Q149" s="478" t="str">
        <f>IFERROR(VLOOKUP(G149,MODULY_CBA!$B$3:$I$23,6,0),"")</f>
        <v>Inkrement 3</v>
      </c>
      <c r="R149" s="382"/>
      <c r="S149" s="382"/>
      <c r="T149" s="382"/>
      <c r="U149" s="382"/>
      <c r="V149" s="382"/>
      <c r="W149" s="382"/>
      <c r="X149" s="382"/>
      <c r="Y149" s="382"/>
      <c r="Z149" s="382"/>
      <c r="AA149" s="382"/>
      <c r="AB149" s="382"/>
      <c r="AC149" s="382"/>
      <c r="AD149" s="382"/>
      <c r="AE149" s="382"/>
    </row>
    <row r="150" spans="1:31">
      <c r="A150" s="401">
        <v>148</v>
      </c>
      <c r="B150" s="401" t="s">
        <v>475</v>
      </c>
      <c r="C150" s="530" t="s">
        <v>613</v>
      </c>
      <c r="D150" s="530" t="s">
        <v>625</v>
      </c>
      <c r="E150" s="389"/>
      <c r="F150" s="389" t="s">
        <v>8</v>
      </c>
      <c r="G150" s="380" t="s">
        <v>262</v>
      </c>
      <c r="H150" s="379">
        <v>1</v>
      </c>
      <c r="I150" s="379">
        <v>15</v>
      </c>
      <c r="J150" s="379">
        <f t="shared" si="10"/>
        <v>1</v>
      </c>
      <c r="K150" s="379">
        <f t="shared" si="11"/>
        <v>15</v>
      </c>
      <c r="L150" s="643">
        <f>IFERROR(IF(B150="funkcna poziadavka",VLOOKUP(G150,MODULY_CBA!$B$3:$E$23,4,0)*H150/SUMIFS($H$3:$H$199,$G$3:$G$199,G150,$B$3:$B$199,B150),),)</f>
        <v>0.47540983606557374</v>
      </c>
      <c r="M150" s="379">
        <f>IFERROR(IF(B150="Funkcna poziadavka",VLOOKUP(G150,MODULY_CBA!$B$3:$E$23,3,0),),)</f>
        <v>0.93499999999999994</v>
      </c>
      <c r="N150" s="379">
        <f>IFERROR(IF(B150="funkcna poziadavka",VLOOKUP(G150,MODULY_CBA!$B$3:$E$23,2,0),),)</f>
        <v>1.18</v>
      </c>
      <c r="O150" s="378">
        <f t="shared" si="9"/>
        <v>17.074019672131147</v>
      </c>
      <c r="P150" s="377">
        <f>IFERROR(O150*VLOOKUP(G150,MODULY_CBA!$B$3:$F$23,5,0),)</f>
        <v>512.22059016393439</v>
      </c>
      <c r="Q150" s="478" t="str">
        <f>IFERROR(VLOOKUP(G150,MODULY_CBA!$B$3:$I$23,6,0),"")</f>
        <v>Inkrement 3</v>
      </c>
      <c r="R150" s="382" t="s">
        <v>119</v>
      </c>
      <c r="S150" s="382" t="s">
        <v>119</v>
      </c>
      <c r="T150" s="382" t="s">
        <v>119</v>
      </c>
      <c r="U150" s="382" t="s">
        <v>119</v>
      </c>
      <c r="V150" s="382" t="s">
        <v>119</v>
      </c>
      <c r="W150" s="382" t="s">
        <v>119</v>
      </c>
      <c r="X150" s="382" t="s">
        <v>119</v>
      </c>
      <c r="Y150" s="382" t="s">
        <v>119</v>
      </c>
      <c r="Z150" s="382" t="s">
        <v>119</v>
      </c>
      <c r="AA150" s="382" t="s">
        <v>119</v>
      </c>
      <c r="AB150" s="382" t="s">
        <v>119</v>
      </c>
      <c r="AC150" s="382" t="s">
        <v>119</v>
      </c>
      <c r="AD150" s="382" t="s">
        <v>119</v>
      </c>
      <c r="AE150" s="382" t="s">
        <v>119</v>
      </c>
    </row>
    <row r="151" spans="1:31">
      <c r="A151" s="401">
        <v>149</v>
      </c>
      <c r="B151" s="401" t="s">
        <v>475</v>
      </c>
      <c r="C151" s="530" t="s">
        <v>613</v>
      </c>
      <c r="D151" s="530" t="s">
        <v>626</v>
      </c>
      <c r="E151" s="389"/>
      <c r="F151" s="389" t="s">
        <v>8</v>
      </c>
      <c r="G151" s="380" t="s">
        <v>262</v>
      </c>
      <c r="H151" s="379">
        <v>1</v>
      </c>
      <c r="I151" s="379">
        <v>15</v>
      </c>
      <c r="J151" s="379">
        <f t="shared" si="10"/>
        <v>1</v>
      </c>
      <c r="K151" s="379">
        <f t="shared" si="11"/>
        <v>15</v>
      </c>
      <c r="L151" s="643">
        <f>IFERROR(IF(B151="funkcna poziadavka",VLOOKUP(G151,MODULY_CBA!$B$3:$E$23,4,0)*H151/SUMIFS($H$3:$H$199,$G$3:$G$199,G151,$B$3:$B$199,B151),),)</f>
        <v>0.47540983606557374</v>
      </c>
      <c r="M151" s="379">
        <f>IFERROR(IF(B151="Funkcna poziadavka",VLOOKUP(G151,MODULY_CBA!$B$3:$E$23,3,0),),)</f>
        <v>0.93499999999999994</v>
      </c>
      <c r="N151" s="379">
        <f>IFERROR(IF(B151="funkcna poziadavka",VLOOKUP(G151,MODULY_CBA!$B$3:$E$23,2,0),),)</f>
        <v>1.18</v>
      </c>
      <c r="O151" s="378">
        <f t="shared" si="9"/>
        <v>17.074019672131147</v>
      </c>
      <c r="P151" s="377">
        <f>IFERROR(O151*VLOOKUP(G151,MODULY_CBA!$B$3:$F$23,5,0),)</f>
        <v>512.22059016393439</v>
      </c>
      <c r="Q151" s="478" t="str">
        <f>IFERROR(VLOOKUP(G151,MODULY_CBA!$B$3:$I$23,6,0),"")</f>
        <v>Inkrement 3</v>
      </c>
      <c r="R151" s="382"/>
      <c r="S151" s="382"/>
      <c r="T151" s="382"/>
      <c r="U151" s="382"/>
      <c r="V151" s="382"/>
      <c r="W151" s="382"/>
      <c r="X151" s="382"/>
      <c r="Y151" s="382"/>
      <c r="Z151" s="382"/>
      <c r="AA151" s="382"/>
      <c r="AB151" s="382"/>
      <c r="AC151" s="382"/>
      <c r="AD151" s="382"/>
      <c r="AE151" s="382"/>
    </row>
    <row r="152" spans="1:31">
      <c r="A152" s="401">
        <v>150</v>
      </c>
      <c r="B152" s="401" t="s">
        <v>475</v>
      </c>
      <c r="C152" s="530" t="s">
        <v>613</v>
      </c>
      <c r="D152" s="530" t="s">
        <v>627</v>
      </c>
      <c r="E152" s="530"/>
      <c r="F152" s="389" t="s">
        <v>8</v>
      </c>
      <c r="G152" s="380" t="s">
        <v>262</v>
      </c>
      <c r="H152" s="379">
        <v>1</v>
      </c>
      <c r="I152" s="379">
        <v>15</v>
      </c>
      <c r="J152" s="379">
        <f t="shared" si="10"/>
        <v>1</v>
      </c>
      <c r="K152" s="379">
        <f t="shared" si="11"/>
        <v>15</v>
      </c>
      <c r="L152" s="643">
        <f>IFERROR(IF(B152="funkcna poziadavka",VLOOKUP(G152,MODULY_CBA!$B$3:$E$23,4,0)*H152/SUMIFS($H$3:$H$199,$G$3:$G$199,G152,$B$3:$B$199,B152),),)</f>
        <v>0.47540983606557374</v>
      </c>
      <c r="M152" s="379">
        <f>IFERROR(IF(B152="Funkcna poziadavka",VLOOKUP(G152,MODULY_CBA!$B$3:$E$23,3,0),),)</f>
        <v>0.93499999999999994</v>
      </c>
      <c r="N152" s="379">
        <f>IFERROR(IF(B152="funkcna poziadavka",VLOOKUP(G152,MODULY_CBA!$B$3:$E$23,2,0),),)</f>
        <v>1.18</v>
      </c>
      <c r="O152" s="378">
        <f t="shared" si="9"/>
        <v>17.074019672131147</v>
      </c>
      <c r="P152" s="377">
        <f>IFERROR(O152*VLOOKUP(G152,MODULY_CBA!$B$3:$F$23,5,0),)</f>
        <v>512.22059016393439</v>
      </c>
      <c r="Q152" s="478" t="str">
        <f>IFERROR(VLOOKUP(G152,MODULY_CBA!$B$3:$I$23,6,0),"")</f>
        <v>Inkrement 3</v>
      </c>
      <c r="R152" s="382"/>
      <c r="S152" s="382"/>
      <c r="T152" s="382"/>
      <c r="U152" s="382"/>
      <c r="V152" s="382"/>
      <c r="W152" s="382"/>
      <c r="X152" s="382"/>
      <c r="Y152" s="382"/>
      <c r="Z152" s="382"/>
      <c r="AA152" s="382"/>
      <c r="AB152" s="382"/>
      <c r="AC152" s="382"/>
      <c r="AD152" s="382"/>
      <c r="AE152" s="382"/>
    </row>
    <row r="153" spans="1:31">
      <c r="A153" s="401">
        <v>151</v>
      </c>
      <c r="B153" s="401" t="s">
        <v>475</v>
      </c>
      <c r="C153" s="530" t="s">
        <v>613</v>
      </c>
      <c r="D153" s="530" t="s">
        <v>628</v>
      </c>
      <c r="E153" s="530"/>
      <c r="F153" s="389" t="s">
        <v>8</v>
      </c>
      <c r="G153" s="380" t="s">
        <v>262</v>
      </c>
      <c r="H153" s="379">
        <v>1</v>
      </c>
      <c r="I153" s="379">
        <v>15</v>
      </c>
      <c r="J153" s="379">
        <f t="shared" si="10"/>
        <v>1</v>
      </c>
      <c r="K153" s="379">
        <f t="shared" si="11"/>
        <v>15</v>
      </c>
      <c r="L153" s="643">
        <f>IFERROR(IF(B153="funkcna poziadavka",VLOOKUP(G153,MODULY_CBA!$B$3:$E$23,4,0)*H153/SUMIFS($H$3:$H$199,$G$3:$G$199,G153,$B$3:$B$199,B153),),)</f>
        <v>0.47540983606557374</v>
      </c>
      <c r="M153" s="379">
        <f>IFERROR(IF(B153="Funkcna poziadavka",VLOOKUP(G153,MODULY_CBA!$B$3:$E$23,3,0),),)</f>
        <v>0.93499999999999994</v>
      </c>
      <c r="N153" s="379">
        <f>IFERROR(IF(B153="funkcna poziadavka",VLOOKUP(G153,MODULY_CBA!$B$3:$E$23,2,0),),)</f>
        <v>1.18</v>
      </c>
      <c r="O153" s="378">
        <f t="shared" si="9"/>
        <v>17.074019672131147</v>
      </c>
      <c r="P153" s="377">
        <f>IFERROR(O153*VLOOKUP(G153,MODULY_CBA!$B$3:$F$23,5,0),)</f>
        <v>512.22059016393439</v>
      </c>
      <c r="Q153" s="478" t="str">
        <f>IFERROR(VLOOKUP(G153,MODULY_CBA!$B$3:$I$23,6,0),"")</f>
        <v>Inkrement 3</v>
      </c>
      <c r="R153" s="382"/>
      <c r="S153" s="382"/>
      <c r="T153" s="382"/>
      <c r="U153" s="382"/>
      <c r="V153" s="382"/>
      <c r="W153" s="382"/>
      <c r="X153" s="382"/>
      <c r="Y153" s="382"/>
      <c r="Z153" s="382"/>
      <c r="AA153" s="382"/>
      <c r="AB153" s="382"/>
      <c r="AC153" s="382"/>
      <c r="AD153" s="382"/>
      <c r="AE153" s="382"/>
    </row>
    <row r="154" spans="1:31">
      <c r="A154" s="401">
        <v>152</v>
      </c>
      <c r="B154" s="401" t="s">
        <v>475</v>
      </c>
      <c r="C154" s="530" t="s">
        <v>613</v>
      </c>
      <c r="D154" s="530" t="s">
        <v>629</v>
      </c>
      <c r="E154" s="530"/>
      <c r="F154" s="389" t="s">
        <v>8</v>
      </c>
      <c r="G154" s="380" t="s">
        <v>262</v>
      </c>
      <c r="H154" s="379">
        <v>1</v>
      </c>
      <c r="I154" s="379">
        <v>15</v>
      </c>
      <c r="J154" s="379">
        <f t="shared" si="10"/>
        <v>1</v>
      </c>
      <c r="K154" s="379">
        <f t="shared" si="11"/>
        <v>15</v>
      </c>
      <c r="L154" s="643">
        <f>IFERROR(IF(B154="funkcna poziadavka",VLOOKUP(G154,MODULY_CBA!$B$3:$E$23,4,0)*H154/SUMIFS($H$3:$H$199,$G$3:$G$199,G154,$B$3:$B$199,B154),),)</f>
        <v>0.47540983606557374</v>
      </c>
      <c r="M154" s="379">
        <f>IFERROR(IF(B154="Funkcna poziadavka",VLOOKUP(G154,MODULY_CBA!$B$3:$E$23,3,0),),)</f>
        <v>0.93499999999999994</v>
      </c>
      <c r="N154" s="379">
        <f>IFERROR(IF(B154="funkcna poziadavka",VLOOKUP(G154,MODULY_CBA!$B$3:$E$23,2,0),),)</f>
        <v>1.18</v>
      </c>
      <c r="O154" s="378">
        <f t="shared" si="9"/>
        <v>17.074019672131147</v>
      </c>
      <c r="P154" s="377">
        <f>IFERROR(O154*VLOOKUP(G154,MODULY_CBA!$B$3:$F$23,5,0),)</f>
        <v>512.22059016393439</v>
      </c>
      <c r="Q154" s="478" t="str">
        <f>IFERROR(VLOOKUP(G154,MODULY_CBA!$B$3:$I$23,6,0),"")</f>
        <v>Inkrement 3</v>
      </c>
      <c r="R154" s="382"/>
      <c r="S154" s="382"/>
      <c r="T154" s="382"/>
      <c r="U154" s="382"/>
      <c r="V154" s="382"/>
      <c r="W154" s="382"/>
      <c r="X154" s="382"/>
      <c r="Y154" s="382"/>
      <c r="Z154" s="382"/>
      <c r="AA154" s="382"/>
      <c r="AB154" s="382"/>
      <c r="AC154" s="382"/>
      <c r="AD154" s="382"/>
      <c r="AE154" s="382"/>
    </row>
    <row r="155" spans="1:31">
      <c r="A155" s="401">
        <v>153</v>
      </c>
      <c r="B155" s="401" t="s">
        <v>475</v>
      </c>
      <c r="C155" s="530" t="s">
        <v>613</v>
      </c>
      <c r="D155" s="530" t="s">
        <v>630</v>
      </c>
      <c r="E155" s="530"/>
      <c r="F155" s="389" t="s">
        <v>8</v>
      </c>
      <c r="G155" s="380" t="s">
        <v>262</v>
      </c>
      <c r="H155" s="379">
        <v>1</v>
      </c>
      <c r="I155" s="379">
        <v>15</v>
      </c>
      <c r="J155" s="379">
        <f t="shared" si="10"/>
        <v>1</v>
      </c>
      <c r="K155" s="379">
        <f t="shared" si="11"/>
        <v>15</v>
      </c>
      <c r="L155" s="643">
        <f>IFERROR(IF(B155="funkcna poziadavka",VLOOKUP(G155,MODULY_CBA!$B$3:$E$23,4,0)*H155/SUMIFS($H$3:$H$199,$G$3:$G$199,G155,$B$3:$B$199,B155),),)</f>
        <v>0.47540983606557374</v>
      </c>
      <c r="M155" s="379">
        <f>IFERROR(IF(B155="Funkcna poziadavka",VLOOKUP(G155,MODULY_CBA!$B$3:$E$23,3,0),),)</f>
        <v>0.93499999999999994</v>
      </c>
      <c r="N155" s="379">
        <f>IFERROR(IF(B155="funkcna poziadavka",VLOOKUP(G155,MODULY_CBA!$B$3:$E$23,2,0),),)</f>
        <v>1.18</v>
      </c>
      <c r="O155" s="378">
        <f t="shared" si="9"/>
        <v>17.074019672131147</v>
      </c>
      <c r="P155" s="377">
        <f>IFERROR(O155*VLOOKUP(G155,MODULY_CBA!$B$3:$F$23,5,0),)</f>
        <v>512.22059016393439</v>
      </c>
      <c r="Q155" s="478" t="str">
        <f>IFERROR(VLOOKUP(G155,MODULY_CBA!$B$3:$I$23,6,0),"")</f>
        <v>Inkrement 3</v>
      </c>
      <c r="R155" s="382"/>
      <c r="S155" s="382"/>
      <c r="T155" s="382"/>
      <c r="U155" s="382"/>
      <c r="V155" s="382"/>
      <c r="W155" s="382"/>
      <c r="X155" s="382"/>
      <c r="Y155" s="382"/>
      <c r="Z155" s="382"/>
      <c r="AA155" s="382"/>
      <c r="AB155" s="382"/>
      <c r="AC155" s="382"/>
      <c r="AD155" s="382"/>
      <c r="AE155" s="382"/>
    </row>
    <row r="156" spans="1:31" ht="25.5">
      <c r="A156" s="401">
        <v>154</v>
      </c>
      <c r="B156" s="401" t="s">
        <v>475</v>
      </c>
      <c r="C156" s="530" t="s">
        <v>613</v>
      </c>
      <c r="D156" s="530" t="s">
        <v>631</v>
      </c>
      <c r="E156" s="530"/>
      <c r="F156" s="389" t="s">
        <v>8</v>
      </c>
      <c r="G156" s="380" t="s">
        <v>262</v>
      </c>
      <c r="H156" s="379">
        <v>1</v>
      </c>
      <c r="I156" s="379">
        <v>15</v>
      </c>
      <c r="J156" s="379">
        <f t="shared" si="10"/>
        <v>1</v>
      </c>
      <c r="K156" s="379">
        <f t="shared" si="11"/>
        <v>15</v>
      </c>
      <c r="L156" s="643">
        <f>IFERROR(IF(B156="funkcna poziadavka",VLOOKUP(G156,MODULY_CBA!$B$3:$E$23,4,0)*H156/SUMIFS($H$3:$H$199,$G$3:$G$199,G156,$B$3:$B$199,B156),),)</f>
        <v>0.47540983606557374</v>
      </c>
      <c r="M156" s="379">
        <f>IFERROR(IF(B156="Funkcna poziadavka",VLOOKUP(G156,MODULY_CBA!$B$3:$E$23,3,0),),)</f>
        <v>0.93499999999999994</v>
      </c>
      <c r="N156" s="379">
        <f>IFERROR(IF(B156="funkcna poziadavka",VLOOKUP(G156,MODULY_CBA!$B$3:$E$23,2,0),),)</f>
        <v>1.18</v>
      </c>
      <c r="O156" s="378">
        <f t="shared" si="9"/>
        <v>17.074019672131147</v>
      </c>
      <c r="P156" s="377">
        <f>IFERROR(O156*VLOOKUP(G156,MODULY_CBA!$B$3:$F$23,5,0),)</f>
        <v>512.22059016393439</v>
      </c>
      <c r="Q156" s="478" t="str">
        <f>IFERROR(VLOOKUP(G156,MODULY_CBA!$B$3:$I$23,6,0),"")</f>
        <v>Inkrement 3</v>
      </c>
      <c r="R156" s="382" t="s">
        <v>119</v>
      </c>
      <c r="S156" s="382" t="s">
        <v>119</v>
      </c>
      <c r="T156" s="382" t="s">
        <v>119</v>
      </c>
      <c r="U156" s="382" t="s">
        <v>119</v>
      </c>
      <c r="V156" s="382" t="s">
        <v>119</v>
      </c>
      <c r="W156" s="382" t="s">
        <v>119</v>
      </c>
      <c r="X156" s="382" t="s">
        <v>119</v>
      </c>
      <c r="Y156" s="382" t="s">
        <v>119</v>
      </c>
      <c r="Z156" s="382" t="s">
        <v>119</v>
      </c>
      <c r="AA156" s="382" t="s">
        <v>119</v>
      </c>
      <c r="AB156" s="382" t="s">
        <v>119</v>
      </c>
      <c r="AC156" s="382" t="s">
        <v>119</v>
      </c>
      <c r="AD156" s="382" t="s">
        <v>119</v>
      </c>
      <c r="AE156" s="382" t="s">
        <v>119</v>
      </c>
    </row>
    <row r="157" spans="1:31">
      <c r="A157" s="401">
        <v>155</v>
      </c>
      <c r="B157" s="401" t="s">
        <v>475</v>
      </c>
      <c r="C157" s="530" t="s">
        <v>613</v>
      </c>
      <c r="D157" s="530" t="s">
        <v>632</v>
      </c>
      <c r="E157" s="530"/>
      <c r="F157" s="389" t="s">
        <v>8</v>
      </c>
      <c r="G157" s="380" t="s">
        <v>262</v>
      </c>
      <c r="H157" s="379">
        <v>1</v>
      </c>
      <c r="I157" s="379">
        <v>15</v>
      </c>
      <c r="J157" s="379">
        <f t="shared" si="10"/>
        <v>1</v>
      </c>
      <c r="K157" s="379">
        <f t="shared" si="11"/>
        <v>15</v>
      </c>
      <c r="L157" s="643">
        <f>IFERROR(IF(B157="funkcna poziadavka",VLOOKUP(G157,MODULY_CBA!$B$3:$E$23,4,0)*H157/SUMIFS($H$3:$H$199,$G$3:$G$199,G157,$B$3:$B$199,B157),),)</f>
        <v>0.47540983606557374</v>
      </c>
      <c r="M157" s="379">
        <f>IFERROR(IF(B157="Funkcna poziadavka",VLOOKUP(G157,MODULY_CBA!$B$3:$E$23,3,0),),)</f>
        <v>0.93499999999999994</v>
      </c>
      <c r="N157" s="379">
        <f>IFERROR(IF(B157="funkcna poziadavka",VLOOKUP(G157,MODULY_CBA!$B$3:$E$23,2,0),),)</f>
        <v>1.18</v>
      </c>
      <c r="O157" s="378">
        <f t="shared" si="9"/>
        <v>17.074019672131147</v>
      </c>
      <c r="P157" s="377">
        <f>IFERROR(O157*VLOOKUP(G157,MODULY_CBA!$B$3:$F$23,5,0),)</f>
        <v>512.22059016393439</v>
      </c>
      <c r="Q157" s="478" t="str">
        <f>IFERROR(VLOOKUP(G157,MODULY_CBA!$B$3:$I$23,6,0),"")</f>
        <v>Inkrement 3</v>
      </c>
      <c r="R157" s="382"/>
      <c r="S157" s="382"/>
      <c r="T157" s="382"/>
      <c r="U157" s="382"/>
      <c r="V157" s="382"/>
      <c r="W157" s="382"/>
      <c r="X157" s="382"/>
      <c r="Y157" s="382"/>
      <c r="Z157" s="382"/>
      <c r="AA157" s="382"/>
      <c r="AB157" s="382"/>
      <c r="AC157" s="382"/>
      <c r="AD157" s="382"/>
      <c r="AE157" s="382"/>
    </row>
    <row r="158" spans="1:31">
      <c r="A158" s="401">
        <v>156</v>
      </c>
      <c r="B158" s="401" t="s">
        <v>475</v>
      </c>
      <c r="C158" s="530" t="s">
        <v>613</v>
      </c>
      <c r="D158" s="530" t="s">
        <v>633</v>
      </c>
      <c r="E158" s="530"/>
      <c r="F158" s="389" t="s">
        <v>8</v>
      </c>
      <c r="G158" s="380" t="s">
        <v>262</v>
      </c>
      <c r="H158" s="379">
        <v>1</v>
      </c>
      <c r="I158" s="379">
        <v>15</v>
      </c>
      <c r="J158" s="379">
        <f t="shared" si="10"/>
        <v>1</v>
      </c>
      <c r="K158" s="379">
        <f t="shared" si="11"/>
        <v>15</v>
      </c>
      <c r="L158" s="643">
        <f>IFERROR(IF(B158="funkcna poziadavka",VLOOKUP(G158,MODULY_CBA!$B$3:$E$23,4,0)*H158/SUMIFS($H$3:$H$199,$G$3:$G$199,G158,$B$3:$B$199,B158),),)</f>
        <v>0.47540983606557374</v>
      </c>
      <c r="M158" s="379">
        <f>IFERROR(IF(B158="Funkcna poziadavka",VLOOKUP(G158,MODULY_CBA!$B$3:$E$23,3,0),),)</f>
        <v>0.93499999999999994</v>
      </c>
      <c r="N158" s="379">
        <f>IFERROR(IF(B158="funkcna poziadavka",VLOOKUP(G158,MODULY_CBA!$B$3:$E$23,2,0),),)</f>
        <v>1.18</v>
      </c>
      <c r="O158" s="378">
        <f t="shared" si="9"/>
        <v>17.074019672131147</v>
      </c>
      <c r="P158" s="377">
        <f>IFERROR(O158*VLOOKUP(G158,MODULY_CBA!$B$3:$F$23,5,0),)</f>
        <v>512.22059016393439</v>
      </c>
      <c r="Q158" s="478" t="str">
        <f>IFERROR(VLOOKUP(G158,MODULY_CBA!$B$3:$I$23,6,0),"")</f>
        <v>Inkrement 3</v>
      </c>
      <c r="R158" s="382"/>
      <c r="S158" s="382"/>
      <c r="T158" s="382"/>
      <c r="U158" s="382"/>
      <c r="V158" s="382"/>
      <c r="W158" s="382"/>
      <c r="X158" s="382"/>
      <c r="Y158" s="382"/>
      <c r="Z158" s="382"/>
      <c r="AA158" s="382"/>
      <c r="AB158" s="382"/>
      <c r="AC158" s="382"/>
      <c r="AD158" s="382"/>
      <c r="AE158" s="382"/>
    </row>
    <row r="159" spans="1:31">
      <c r="A159" s="401">
        <v>157</v>
      </c>
      <c r="B159" s="401" t="s">
        <v>475</v>
      </c>
      <c r="C159" s="530" t="s">
        <v>613</v>
      </c>
      <c r="D159" s="530" t="s">
        <v>634</v>
      </c>
      <c r="E159" s="530"/>
      <c r="F159" s="389" t="s">
        <v>8</v>
      </c>
      <c r="G159" s="380" t="s">
        <v>262</v>
      </c>
      <c r="H159" s="379">
        <v>1</v>
      </c>
      <c r="I159" s="379">
        <v>15</v>
      </c>
      <c r="J159" s="379">
        <f t="shared" si="10"/>
        <v>1</v>
      </c>
      <c r="K159" s="379">
        <f t="shared" si="11"/>
        <v>15</v>
      </c>
      <c r="L159" s="643">
        <f>IFERROR(IF(B159="funkcna poziadavka",VLOOKUP(G159,MODULY_CBA!$B$3:$E$23,4,0)*H159/SUMIFS($H$3:$H$199,$G$3:$G$199,G159,$B$3:$B$199,B159),),)</f>
        <v>0.47540983606557374</v>
      </c>
      <c r="M159" s="379">
        <f>IFERROR(IF(B159="Funkcna poziadavka",VLOOKUP(G159,MODULY_CBA!$B$3:$E$23,3,0),),)</f>
        <v>0.93499999999999994</v>
      </c>
      <c r="N159" s="379">
        <f>IFERROR(IF(B159="funkcna poziadavka",VLOOKUP(G159,MODULY_CBA!$B$3:$E$23,2,0),),)</f>
        <v>1.18</v>
      </c>
      <c r="O159" s="378">
        <f t="shared" si="9"/>
        <v>17.074019672131147</v>
      </c>
      <c r="P159" s="377">
        <f>IFERROR(O159*VLOOKUP(G159,MODULY_CBA!$B$3:$F$23,5,0),)</f>
        <v>512.22059016393439</v>
      </c>
      <c r="Q159" s="478" t="str">
        <f>IFERROR(VLOOKUP(G159,MODULY_CBA!$B$3:$I$23,6,0),"")</f>
        <v>Inkrement 3</v>
      </c>
      <c r="R159" s="382"/>
      <c r="S159" s="382"/>
      <c r="T159" s="382"/>
      <c r="U159" s="382"/>
      <c r="V159" s="382"/>
      <c r="W159" s="382"/>
      <c r="X159" s="382"/>
      <c r="Y159" s="382"/>
      <c r="Z159" s="382"/>
      <c r="AA159" s="382"/>
      <c r="AB159" s="382"/>
      <c r="AC159" s="382"/>
      <c r="AD159" s="382"/>
      <c r="AE159" s="382"/>
    </row>
    <row r="160" spans="1:31">
      <c r="A160" s="401">
        <v>158</v>
      </c>
      <c r="B160" s="401" t="s">
        <v>475</v>
      </c>
      <c r="C160" s="530" t="s">
        <v>613</v>
      </c>
      <c r="D160" s="530" t="s">
        <v>635</v>
      </c>
      <c r="E160" s="530"/>
      <c r="F160" s="389" t="s">
        <v>8</v>
      </c>
      <c r="G160" s="380" t="s">
        <v>262</v>
      </c>
      <c r="H160" s="379">
        <v>1</v>
      </c>
      <c r="I160" s="379">
        <v>15</v>
      </c>
      <c r="J160" s="379">
        <f t="shared" si="10"/>
        <v>1</v>
      </c>
      <c r="K160" s="379">
        <f t="shared" si="11"/>
        <v>15</v>
      </c>
      <c r="L160" s="643">
        <f>IFERROR(IF(B160="funkcna poziadavka",VLOOKUP(G160,MODULY_CBA!$B$3:$E$23,4,0)*H160/SUMIFS($H$3:$H$199,$G$3:$G$199,G160,$B$3:$B$199,B160),),)</f>
        <v>0.47540983606557374</v>
      </c>
      <c r="M160" s="379">
        <f>IFERROR(IF(B160="Funkcna poziadavka",VLOOKUP(G160,MODULY_CBA!$B$3:$E$23,3,0),),)</f>
        <v>0.93499999999999994</v>
      </c>
      <c r="N160" s="379">
        <f>IFERROR(IF(B160="funkcna poziadavka",VLOOKUP(G160,MODULY_CBA!$B$3:$E$23,2,0),),)</f>
        <v>1.18</v>
      </c>
      <c r="O160" s="378">
        <f t="shared" si="9"/>
        <v>17.074019672131147</v>
      </c>
      <c r="P160" s="377">
        <f>IFERROR(O160*VLOOKUP(G160,MODULY_CBA!$B$3:$F$23,5,0),)</f>
        <v>512.22059016393439</v>
      </c>
      <c r="Q160" s="478" t="str">
        <f>IFERROR(VLOOKUP(G160,MODULY_CBA!$B$3:$I$23,6,0),"")</f>
        <v>Inkrement 3</v>
      </c>
      <c r="R160" s="382"/>
      <c r="S160" s="382"/>
      <c r="T160" s="382"/>
      <c r="U160" s="382"/>
      <c r="V160" s="382"/>
      <c r="W160" s="382"/>
      <c r="X160" s="382"/>
      <c r="Y160" s="382"/>
      <c r="Z160" s="382"/>
      <c r="AA160" s="382"/>
      <c r="AB160" s="382"/>
      <c r="AC160" s="382"/>
      <c r="AD160" s="382"/>
      <c r="AE160" s="382"/>
    </row>
    <row r="161" spans="1:32">
      <c r="A161" s="401">
        <v>159</v>
      </c>
      <c r="B161" s="401" t="s">
        <v>475</v>
      </c>
      <c r="C161" s="530" t="s">
        <v>613</v>
      </c>
      <c r="D161" s="530" t="s">
        <v>636</v>
      </c>
      <c r="E161" s="530"/>
      <c r="F161" s="389" t="s">
        <v>8</v>
      </c>
      <c r="G161" s="380" t="s">
        <v>262</v>
      </c>
      <c r="H161" s="379">
        <v>1</v>
      </c>
      <c r="I161" s="379">
        <v>15</v>
      </c>
      <c r="J161" s="379">
        <f t="shared" si="10"/>
        <v>1</v>
      </c>
      <c r="K161" s="379">
        <f t="shared" si="11"/>
        <v>15</v>
      </c>
      <c r="L161" s="643">
        <f>IFERROR(IF(B161="funkcna poziadavka",VLOOKUP(G161,MODULY_CBA!$B$3:$E$23,4,0)*H161/SUMIFS($H$3:$H$199,$G$3:$G$199,G161,$B$3:$B$199,B161),),)</f>
        <v>0.47540983606557374</v>
      </c>
      <c r="M161" s="379">
        <f>IFERROR(IF(B161="Funkcna poziadavka",VLOOKUP(G161,MODULY_CBA!$B$3:$E$23,3,0),),)</f>
        <v>0.93499999999999994</v>
      </c>
      <c r="N161" s="379">
        <f>IFERROR(IF(B161="funkcna poziadavka",VLOOKUP(G161,MODULY_CBA!$B$3:$E$23,2,0),),)</f>
        <v>1.18</v>
      </c>
      <c r="O161" s="378">
        <f t="shared" si="9"/>
        <v>17.074019672131147</v>
      </c>
      <c r="P161" s="377">
        <f>IFERROR(O161*VLOOKUP(G161,MODULY_CBA!$B$3:$F$23,5,0),)</f>
        <v>512.22059016393439</v>
      </c>
      <c r="Q161" s="478" t="str">
        <f>IFERROR(VLOOKUP(G161,MODULY_CBA!$B$3:$I$23,6,0),"")</f>
        <v>Inkrement 3</v>
      </c>
      <c r="R161" s="382"/>
      <c r="S161" s="382"/>
      <c r="T161" s="382"/>
      <c r="U161" s="382"/>
      <c r="V161" s="382"/>
      <c r="W161" s="382"/>
      <c r="X161" s="382"/>
      <c r="Y161" s="382"/>
      <c r="Z161" s="382"/>
      <c r="AA161" s="382"/>
      <c r="AB161" s="382"/>
      <c r="AC161" s="382"/>
      <c r="AD161" s="382"/>
      <c r="AE161" s="382"/>
    </row>
    <row r="162" spans="1:32">
      <c r="A162" s="401">
        <v>160</v>
      </c>
      <c r="B162" s="401" t="s">
        <v>475</v>
      </c>
      <c r="C162" s="530" t="s">
        <v>613</v>
      </c>
      <c r="D162" s="530" t="s">
        <v>637</v>
      </c>
      <c r="E162" s="530"/>
      <c r="F162" s="389" t="s">
        <v>8</v>
      </c>
      <c r="G162" s="380" t="s">
        <v>262</v>
      </c>
      <c r="H162" s="379">
        <v>1</v>
      </c>
      <c r="I162" s="379">
        <v>15</v>
      </c>
      <c r="J162" s="379">
        <f t="shared" si="10"/>
        <v>1</v>
      </c>
      <c r="K162" s="379">
        <f t="shared" si="11"/>
        <v>15</v>
      </c>
      <c r="L162" s="643">
        <f>IFERROR(IF(B162="funkcna poziadavka",VLOOKUP(G162,MODULY_CBA!$B$3:$E$23,4,0)*H162/SUMIFS($H$3:$H$199,$G$3:$G$199,G162,$B$3:$B$199,B162),),)</f>
        <v>0.47540983606557374</v>
      </c>
      <c r="M162" s="379">
        <f>IFERROR(IF(B162="Funkcna poziadavka",VLOOKUP(G162,MODULY_CBA!$B$3:$E$23,3,0),),)</f>
        <v>0.93499999999999994</v>
      </c>
      <c r="N162" s="379">
        <f>IFERROR(IF(B162="funkcna poziadavka",VLOOKUP(G162,MODULY_CBA!$B$3:$E$23,2,0),),)</f>
        <v>1.18</v>
      </c>
      <c r="O162" s="378">
        <f t="shared" si="9"/>
        <v>17.074019672131147</v>
      </c>
      <c r="P162" s="377">
        <f>IFERROR(O162*VLOOKUP(G162,MODULY_CBA!$B$3:$F$23,5,0),)</f>
        <v>512.22059016393439</v>
      </c>
      <c r="Q162" s="478" t="str">
        <f>IFERROR(VLOOKUP(G162,MODULY_CBA!$B$3:$I$23,6,0),"")</f>
        <v>Inkrement 3</v>
      </c>
      <c r="R162" s="382"/>
      <c r="S162" s="382"/>
      <c r="T162" s="382"/>
      <c r="U162" s="382"/>
      <c r="V162" s="382"/>
      <c r="W162" s="382"/>
      <c r="X162" s="382"/>
      <c r="Y162" s="382"/>
      <c r="Z162" s="382"/>
      <c r="AA162" s="382"/>
      <c r="AB162" s="382"/>
      <c r="AC162" s="382"/>
      <c r="AD162" s="382"/>
      <c r="AE162" s="382"/>
    </row>
    <row r="163" spans="1:32">
      <c r="A163" s="401">
        <v>161</v>
      </c>
      <c r="B163" s="401" t="s">
        <v>475</v>
      </c>
      <c r="C163" s="530" t="s">
        <v>613</v>
      </c>
      <c r="D163" s="530" t="s">
        <v>638</v>
      </c>
      <c r="E163" s="530"/>
      <c r="F163" s="389" t="s">
        <v>8</v>
      </c>
      <c r="G163" s="380" t="s">
        <v>262</v>
      </c>
      <c r="H163" s="379">
        <v>1</v>
      </c>
      <c r="I163" s="379">
        <v>15</v>
      </c>
      <c r="J163" s="379">
        <f t="shared" si="10"/>
        <v>1</v>
      </c>
      <c r="K163" s="379">
        <f t="shared" si="11"/>
        <v>15</v>
      </c>
      <c r="L163" s="643">
        <f>IFERROR(IF(B163="funkcna poziadavka",VLOOKUP(G163,MODULY_CBA!$B$3:$E$23,4,0)*H163/SUMIFS($H$3:$H$199,$G$3:$G$199,G163,$B$3:$B$199,B163),),)</f>
        <v>0.47540983606557374</v>
      </c>
      <c r="M163" s="379">
        <f>IFERROR(IF(B163="Funkcna poziadavka",VLOOKUP(G163,MODULY_CBA!$B$3:$E$23,3,0),),)</f>
        <v>0.93499999999999994</v>
      </c>
      <c r="N163" s="379">
        <f>IFERROR(IF(B163="funkcna poziadavka",VLOOKUP(G163,MODULY_CBA!$B$3:$E$23,2,0),),)</f>
        <v>1.18</v>
      </c>
      <c r="O163" s="378">
        <f t="shared" ref="O163:O169" si="12">(K163+L163)*M163*N163</f>
        <v>17.074019672131147</v>
      </c>
      <c r="P163" s="377">
        <f>IFERROR(O163*VLOOKUP(G163,MODULY_CBA!$B$3:$F$23,5,0),)</f>
        <v>512.22059016393439</v>
      </c>
      <c r="Q163" s="478" t="str">
        <f>IFERROR(VLOOKUP(G163,MODULY_CBA!$B$3:$I$23,6,0),"")</f>
        <v>Inkrement 3</v>
      </c>
      <c r="R163" s="382" t="s">
        <v>119</v>
      </c>
      <c r="S163" s="382" t="s">
        <v>119</v>
      </c>
      <c r="T163" s="382" t="s">
        <v>119</v>
      </c>
      <c r="U163" s="382" t="s">
        <v>119</v>
      </c>
      <c r="V163" s="382" t="s">
        <v>119</v>
      </c>
      <c r="W163" s="382" t="s">
        <v>119</v>
      </c>
      <c r="X163" s="382" t="s">
        <v>119</v>
      </c>
      <c r="Y163" s="382" t="s">
        <v>119</v>
      </c>
      <c r="Z163" s="382" t="s">
        <v>119</v>
      </c>
      <c r="AA163" s="382" t="s">
        <v>119</v>
      </c>
      <c r="AB163" s="382" t="s">
        <v>119</v>
      </c>
      <c r="AC163" s="382" t="s">
        <v>119</v>
      </c>
      <c r="AD163" s="382" t="s">
        <v>119</v>
      </c>
      <c r="AE163" s="382" t="s">
        <v>119</v>
      </c>
    </row>
    <row r="164" spans="1:32">
      <c r="A164" s="401">
        <v>162</v>
      </c>
      <c r="B164" s="401" t="s">
        <v>475</v>
      </c>
      <c r="C164" s="530" t="s">
        <v>613</v>
      </c>
      <c r="D164" s="530" t="s">
        <v>639</v>
      </c>
      <c r="E164" s="530"/>
      <c r="F164" s="389" t="s">
        <v>8</v>
      </c>
      <c r="G164" s="380" t="s">
        <v>262</v>
      </c>
      <c r="H164" s="379">
        <v>1</v>
      </c>
      <c r="I164" s="379">
        <v>15</v>
      </c>
      <c r="J164" s="379">
        <f t="shared" si="10"/>
        <v>1</v>
      </c>
      <c r="K164" s="379">
        <f t="shared" si="11"/>
        <v>15</v>
      </c>
      <c r="L164" s="643">
        <f>IFERROR(IF(B164="funkcna poziadavka",VLOOKUP(G164,MODULY_CBA!$B$3:$E$23,4,0)*H164/SUMIFS($H$3:$H$199,$G$3:$G$199,G164,$B$3:$B$199,B164),),)</f>
        <v>0.47540983606557374</v>
      </c>
      <c r="M164" s="379">
        <f>IFERROR(IF(B164="Funkcna poziadavka",VLOOKUP(G164,MODULY_CBA!$B$3:$E$23,3,0),),)</f>
        <v>0.93499999999999994</v>
      </c>
      <c r="N164" s="379">
        <f>IFERROR(IF(B164="funkcna poziadavka",VLOOKUP(G164,MODULY_CBA!$B$3:$E$23,2,0),),)</f>
        <v>1.18</v>
      </c>
      <c r="O164" s="378">
        <f t="shared" si="12"/>
        <v>17.074019672131147</v>
      </c>
      <c r="P164" s="377">
        <f>IFERROR(O164*VLOOKUP(G164,MODULY_CBA!$B$3:$F$23,5,0),)</f>
        <v>512.22059016393439</v>
      </c>
      <c r="Q164" s="478" t="str">
        <f>IFERROR(VLOOKUP(G164,MODULY_CBA!$B$3:$I$23,6,0),"")</f>
        <v>Inkrement 3</v>
      </c>
      <c r="R164" s="382" t="s">
        <v>119</v>
      </c>
      <c r="S164" s="382" t="s">
        <v>119</v>
      </c>
      <c r="T164" s="382" t="s">
        <v>119</v>
      </c>
      <c r="U164" s="382" t="s">
        <v>119</v>
      </c>
      <c r="V164" s="382" t="s">
        <v>119</v>
      </c>
      <c r="W164" s="382" t="s">
        <v>119</v>
      </c>
      <c r="X164" s="382" t="s">
        <v>119</v>
      </c>
      <c r="Y164" s="382" t="s">
        <v>119</v>
      </c>
      <c r="Z164" s="382" t="s">
        <v>119</v>
      </c>
      <c r="AA164" s="382" t="s">
        <v>119</v>
      </c>
      <c r="AB164" s="382" t="s">
        <v>119</v>
      </c>
      <c r="AC164" s="382" t="s">
        <v>119</v>
      </c>
      <c r="AD164" s="382" t="s">
        <v>119</v>
      </c>
      <c r="AE164" s="382" t="s">
        <v>119</v>
      </c>
      <c r="AF164" s="374"/>
    </row>
    <row r="165" spans="1:32">
      <c r="A165" s="401">
        <v>163</v>
      </c>
      <c r="B165" s="401" t="s">
        <v>475</v>
      </c>
      <c r="C165" s="530" t="s">
        <v>613</v>
      </c>
      <c r="D165" s="530" t="s">
        <v>640</v>
      </c>
      <c r="E165" s="530"/>
      <c r="F165" s="389" t="s">
        <v>8</v>
      </c>
      <c r="G165" s="380" t="s">
        <v>262</v>
      </c>
      <c r="H165" s="379">
        <v>1</v>
      </c>
      <c r="I165" s="379">
        <v>15</v>
      </c>
      <c r="J165" s="379">
        <f t="shared" si="10"/>
        <v>1</v>
      </c>
      <c r="K165" s="379">
        <f t="shared" si="11"/>
        <v>15</v>
      </c>
      <c r="L165" s="643">
        <f>IFERROR(IF(B165="funkcna poziadavka",VLOOKUP(G165,MODULY_CBA!$B$3:$E$23,4,0)*H165/SUMIFS($H$3:$H$199,$G$3:$G$199,G165,$B$3:$B$199,B165),),)</f>
        <v>0.47540983606557374</v>
      </c>
      <c r="M165" s="379">
        <f>IFERROR(IF(B165="Funkcna poziadavka",VLOOKUP(G165,MODULY_CBA!$B$3:$E$23,3,0),),)</f>
        <v>0.93499999999999994</v>
      </c>
      <c r="N165" s="379">
        <f>IFERROR(IF(B165="funkcna poziadavka",VLOOKUP(G165,MODULY_CBA!$B$3:$E$23,2,0),),)</f>
        <v>1.18</v>
      </c>
      <c r="O165" s="378">
        <f t="shared" si="12"/>
        <v>17.074019672131147</v>
      </c>
      <c r="P165" s="377">
        <f>IFERROR(O165*VLOOKUP(G165,MODULY_CBA!$B$3:$F$23,5,0),)</f>
        <v>512.22059016393439</v>
      </c>
      <c r="Q165" s="478" t="str">
        <f>IFERROR(VLOOKUP(G165,MODULY_CBA!$B$3:$I$23,6,0),"")</f>
        <v>Inkrement 3</v>
      </c>
      <c r="R165" s="382"/>
      <c r="S165" s="382"/>
      <c r="T165" s="382"/>
      <c r="U165" s="382"/>
      <c r="V165" s="382"/>
      <c r="W165" s="382"/>
      <c r="X165" s="382"/>
      <c r="Y165" s="382"/>
      <c r="Z165" s="382"/>
      <c r="AA165" s="382"/>
      <c r="AB165" s="382"/>
      <c r="AC165" s="382"/>
      <c r="AD165" s="382"/>
      <c r="AE165" s="382"/>
      <c r="AF165" s="374"/>
    </row>
    <row r="166" spans="1:32">
      <c r="A166" s="401">
        <v>164</v>
      </c>
      <c r="B166" s="401" t="s">
        <v>475</v>
      </c>
      <c r="C166" s="530" t="s">
        <v>613</v>
      </c>
      <c r="D166" s="530" t="s">
        <v>641</v>
      </c>
      <c r="E166" s="530"/>
      <c r="F166" s="389" t="s">
        <v>8</v>
      </c>
      <c r="G166" s="380" t="s">
        <v>262</v>
      </c>
      <c r="H166" s="379">
        <v>1</v>
      </c>
      <c r="I166" s="379">
        <v>15</v>
      </c>
      <c r="J166" s="379">
        <f t="shared" si="10"/>
        <v>1</v>
      </c>
      <c r="K166" s="379">
        <f t="shared" si="11"/>
        <v>15</v>
      </c>
      <c r="L166" s="643">
        <f>IFERROR(IF(B166="funkcna poziadavka",VLOOKUP(G166,MODULY_CBA!$B$3:$E$23,4,0)*H166/SUMIFS($H$3:$H$199,$G$3:$G$199,G166,$B$3:$B$199,B166),),)</f>
        <v>0.47540983606557374</v>
      </c>
      <c r="M166" s="379">
        <f>IFERROR(IF(B166="Funkcna poziadavka",VLOOKUP(G166,MODULY_CBA!$B$3:$E$23,3,0),),)</f>
        <v>0.93499999999999994</v>
      </c>
      <c r="N166" s="379">
        <f>IFERROR(IF(B166="funkcna poziadavka",VLOOKUP(G166,MODULY_CBA!$B$3:$E$23,2,0),),)</f>
        <v>1.18</v>
      </c>
      <c r="O166" s="378">
        <f t="shared" si="12"/>
        <v>17.074019672131147</v>
      </c>
      <c r="P166" s="377">
        <f>IFERROR(O166*VLOOKUP(G166,MODULY_CBA!$B$3:$F$23,5,0),)</f>
        <v>512.22059016393439</v>
      </c>
      <c r="Q166" s="478" t="str">
        <f>IFERROR(VLOOKUP(G166,MODULY_CBA!$B$3:$I$23,6,0),"")</f>
        <v>Inkrement 3</v>
      </c>
      <c r="R166" s="382" t="s">
        <v>119</v>
      </c>
      <c r="S166" s="382" t="s">
        <v>119</v>
      </c>
      <c r="T166" s="382" t="s">
        <v>119</v>
      </c>
      <c r="U166" s="382" t="s">
        <v>119</v>
      </c>
      <c r="V166" s="382" t="s">
        <v>119</v>
      </c>
      <c r="W166" s="382" t="s">
        <v>119</v>
      </c>
      <c r="X166" s="382" t="s">
        <v>119</v>
      </c>
      <c r="Y166" s="382" t="s">
        <v>119</v>
      </c>
      <c r="Z166" s="382" t="s">
        <v>119</v>
      </c>
      <c r="AA166" s="382" t="s">
        <v>119</v>
      </c>
      <c r="AB166" s="382" t="s">
        <v>119</v>
      </c>
      <c r="AC166" s="382" t="s">
        <v>119</v>
      </c>
      <c r="AD166" s="382" t="s">
        <v>119</v>
      </c>
      <c r="AE166" s="382" t="s">
        <v>119</v>
      </c>
      <c r="AF166" s="374"/>
    </row>
    <row r="167" spans="1:32">
      <c r="A167" s="401">
        <v>165</v>
      </c>
      <c r="B167" s="401" t="s">
        <v>475</v>
      </c>
      <c r="C167" s="530" t="s">
        <v>613</v>
      </c>
      <c r="D167" s="530" t="s">
        <v>642</v>
      </c>
      <c r="E167" s="530"/>
      <c r="F167" s="389" t="s">
        <v>8</v>
      </c>
      <c r="G167" s="380" t="s">
        <v>262</v>
      </c>
      <c r="H167" s="379">
        <v>1</v>
      </c>
      <c r="I167" s="379">
        <v>15</v>
      </c>
      <c r="J167" s="379">
        <f t="shared" si="10"/>
        <v>1</v>
      </c>
      <c r="K167" s="379">
        <f t="shared" si="11"/>
        <v>15</v>
      </c>
      <c r="L167" s="643">
        <f>IFERROR(IF(B167="funkcna poziadavka",VLOOKUP(G167,MODULY_CBA!$B$3:$E$23,4,0)*H167/SUMIFS($H$3:$H$199,$G$3:$G$199,G167,$B$3:$B$199,B167),),)</f>
        <v>0.47540983606557374</v>
      </c>
      <c r="M167" s="379">
        <f>IFERROR(IF(B167="Funkcna poziadavka",VLOOKUP(G167,MODULY_CBA!$B$3:$E$23,3,0),),)</f>
        <v>0.93499999999999994</v>
      </c>
      <c r="N167" s="379">
        <f>IFERROR(IF(B167="funkcna poziadavka",VLOOKUP(G167,MODULY_CBA!$B$3:$E$23,2,0),),)</f>
        <v>1.18</v>
      </c>
      <c r="O167" s="378">
        <f t="shared" si="12"/>
        <v>17.074019672131147</v>
      </c>
      <c r="P167" s="377">
        <f>IFERROR(O167*VLOOKUP(G167,MODULY_CBA!$B$3:$F$23,5,0),)</f>
        <v>512.22059016393439</v>
      </c>
      <c r="Q167" s="478" t="str">
        <f>IFERROR(VLOOKUP(G167,MODULY_CBA!$B$3:$I$23,6,0),"")</f>
        <v>Inkrement 3</v>
      </c>
      <c r="R167" s="382" t="s">
        <v>119</v>
      </c>
      <c r="S167" s="382" t="s">
        <v>119</v>
      </c>
      <c r="T167" s="382" t="s">
        <v>119</v>
      </c>
      <c r="U167" s="382" t="s">
        <v>119</v>
      </c>
      <c r="V167" s="382" t="s">
        <v>119</v>
      </c>
      <c r="W167" s="382" t="s">
        <v>119</v>
      </c>
      <c r="X167" s="382" t="s">
        <v>119</v>
      </c>
      <c r="Y167" s="382" t="s">
        <v>119</v>
      </c>
      <c r="Z167" s="382" t="s">
        <v>119</v>
      </c>
      <c r="AA167" s="382" t="s">
        <v>119</v>
      </c>
      <c r="AB167" s="382" t="s">
        <v>119</v>
      </c>
      <c r="AC167" s="382" t="s">
        <v>119</v>
      </c>
      <c r="AD167" s="382" t="s">
        <v>119</v>
      </c>
      <c r="AE167" s="382" t="s">
        <v>119</v>
      </c>
      <c r="AF167" s="374"/>
    </row>
    <row r="168" spans="1:32">
      <c r="A168" s="401">
        <v>166</v>
      </c>
      <c r="B168" s="401" t="s">
        <v>475</v>
      </c>
      <c r="C168" s="530" t="s">
        <v>613</v>
      </c>
      <c r="D168" s="530" t="s">
        <v>643</v>
      </c>
      <c r="E168" s="530"/>
      <c r="F168" s="389" t="s">
        <v>8</v>
      </c>
      <c r="G168" s="380" t="s">
        <v>262</v>
      </c>
      <c r="H168" s="379">
        <v>1</v>
      </c>
      <c r="I168" s="379">
        <v>15</v>
      </c>
      <c r="J168" s="379">
        <f t="shared" si="10"/>
        <v>1</v>
      </c>
      <c r="K168" s="379">
        <f t="shared" si="11"/>
        <v>15</v>
      </c>
      <c r="L168" s="643">
        <f>IFERROR(IF(B168="funkcna poziadavka",VLOOKUP(G168,MODULY_CBA!$B$3:$E$23,4,0)*H168/SUMIFS($H$3:$H$199,$G$3:$G$199,G168,$B$3:$B$199,B168),),)</f>
        <v>0.47540983606557374</v>
      </c>
      <c r="M168" s="379">
        <f>IFERROR(IF(B168="Funkcna poziadavka",VLOOKUP(G168,MODULY_CBA!$B$3:$E$23,3,0),),)</f>
        <v>0.93499999999999994</v>
      </c>
      <c r="N168" s="379">
        <f>IFERROR(IF(B168="funkcna poziadavka",VLOOKUP(G168,MODULY_CBA!$B$3:$E$23,2,0),),)</f>
        <v>1.18</v>
      </c>
      <c r="O168" s="378">
        <f t="shared" si="12"/>
        <v>17.074019672131147</v>
      </c>
      <c r="P168" s="377">
        <f>IFERROR(O168*VLOOKUP(G168,MODULY_CBA!$B$3:$F$23,5,0),)</f>
        <v>512.22059016393439</v>
      </c>
      <c r="Q168" s="478" t="str">
        <f>IFERROR(VLOOKUP(G168,MODULY_CBA!$B$3:$I$23,6,0),"")</f>
        <v>Inkrement 3</v>
      </c>
      <c r="R168" s="382"/>
      <c r="S168" s="382"/>
      <c r="T168" s="382"/>
      <c r="U168" s="382"/>
      <c r="V168" s="382"/>
      <c r="W168" s="382"/>
      <c r="X168" s="382"/>
      <c r="Y168" s="382"/>
      <c r="Z168" s="382"/>
      <c r="AA168" s="382"/>
      <c r="AB168" s="382"/>
      <c r="AC168" s="382"/>
      <c r="AD168" s="382"/>
      <c r="AE168" s="382"/>
      <c r="AF168" s="374"/>
    </row>
    <row r="169" spans="1:32">
      <c r="A169" s="401">
        <v>167</v>
      </c>
      <c r="B169" s="401" t="s">
        <v>475</v>
      </c>
      <c r="C169" s="530" t="s">
        <v>613</v>
      </c>
      <c r="D169" s="530" t="s">
        <v>644</v>
      </c>
      <c r="E169" s="530"/>
      <c r="F169" s="389" t="s">
        <v>8</v>
      </c>
      <c r="G169" s="380" t="s">
        <v>262</v>
      </c>
      <c r="H169" s="379">
        <v>1</v>
      </c>
      <c r="I169" s="379">
        <v>15</v>
      </c>
      <c r="J169" s="379">
        <f t="shared" si="10"/>
        <v>1</v>
      </c>
      <c r="K169" s="379">
        <f t="shared" si="11"/>
        <v>15</v>
      </c>
      <c r="L169" s="643">
        <f>IFERROR(IF(B169="funkcna poziadavka",VLOOKUP(G169,MODULY_CBA!$B$3:$E$23,4,0)*H169/SUMIFS($H$3:$H$199,$G$3:$G$199,G169,$B$3:$B$199,B169),),)</f>
        <v>0.47540983606557374</v>
      </c>
      <c r="M169" s="379">
        <f>IFERROR(IF(B169="Funkcna poziadavka",VLOOKUP(G169,MODULY_CBA!$B$3:$E$23,3,0),),)</f>
        <v>0.93499999999999994</v>
      </c>
      <c r="N169" s="379">
        <f>IFERROR(IF(B169="funkcna poziadavka",VLOOKUP(G169,MODULY_CBA!$B$3:$E$23,2,0),),)</f>
        <v>1.18</v>
      </c>
      <c r="O169" s="378">
        <f t="shared" si="12"/>
        <v>17.074019672131147</v>
      </c>
      <c r="P169" s="377">
        <f>IFERROR(O169*VLOOKUP(G169,MODULY_CBA!$B$3:$F$23,5,0),)</f>
        <v>512.22059016393439</v>
      </c>
      <c r="Q169" s="478" t="str">
        <f>IFERROR(VLOOKUP(G169,MODULY_CBA!$B$3:$I$23,6,0),"")</f>
        <v>Inkrement 3</v>
      </c>
      <c r="R169" s="382"/>
      <c r="S169" s="382"/>
      <c r="T169" s="382"/>
      <c r="U169" s="382"/>
      <c r="V169" s="382"/>
      <c r="W169" s="382"/>
      <c r="X169" s="382"/>
      <c r="Y169" s="382"/>
      <c r="Z169" s="382"/>
      <c r="AA169" s="382"/>
      <c r="AB169" s="382"/>
      <c r="AC169" s="382"/>
      <c r="AD169" s="382"/>
      <c r="AE169" s="382"/>
      <c r="AF169" s="374"/>
    </row>
    <row r="170" spans="1:32">
      <c r="A170" s="401">
        <v>168</v>
      </c>
      <c r="B170" s="401" t="s">
        <v>475</v>
      </c>
      <c r="C170" s="530" t="s">
        <v>613</v>
      </c>
      <c r="D170" s="530" t="s">
        <v>645</v>
      </c>
      <c r="E170" s="530"/>
      <c r="F170" s="389" t="s">
        <v>8</v>
      </c>
      <c r="G170" s="380" t="s">
        <v>262</v>
      </c>
      <c r="H170" s="379">
        <v>1</v>
      </c>
      <c r="I170" s="379">
        <v>15</v>
      </c>
      <c r="J170" s="379">
        <f t="shared" si="10"/>
        <v>1</v>
      </c>
      <c r="K170" s="379">
        <f t="shared" ref="K170:K233" si="13">H170*I170</f>
        <v>15</v>
      </c>
      <c r="L170" s="643">
        <f>IFERROR(IF(B170="funkcna poziadavka",VLOOKUP(G170,MODULY_CBA!$B$3:$E$23,4,0)*H170/SUMIFS($H$3:$H$199,$G$3:$G$199,G170,$B$3:$B$199,B170),),)</f>
        <v>0.47540983606557374</v>
      </c>
      <c r="M170" s="379">
        <f>IFERROR(IF(B170="Funkcna poziadavka",VLOOKUP(G170,MODULY_CBA!$B$3:$E$23,3,0),),)</f>
        <v>0.93499999999999994</v>
      </c>
      <c r="N170" s="379">
        <f>IFERROR(IF(B170="funkcna poziadavka",VLOOKUP(G170,MODULY_CBA!$B$3:$E$23,2,0),),)</f>
        <v>1.18</v>
      </c>
      <c r="O170" s="378">
        <f t="shared" ref="O170:O233" si="14">(K170+L170)*M170*N170</f>
        <v>17.074019672131147</v>
      </c>
      <c r="P170" s="377">
        <f>IFERROR(O170*VLOOKUP(G170,MODULY_CBA!$B$3:$F$23,5,0),)</f>
        <v>512.22059016393439</v>
      </c>
      <c r="Q170" s="478" t="str">
        <f>IFERROR(VLOOKUP(G170,MODULY_CBA!$B$3:$I$23,6,0),"")</f>
        <v>Inkrement 3</v>
      </c>
      <c r="R170" s="382"/>
      <c r="S170" s="382"/>
      <c r="T170" s="382"/>
      <c r="U170" s="382"/>
      <c r="V170" s="382"/>
      <c r="W170" s="382"/>
      <c r="X170" s="382"/>
      <c r="Y170" s="382"/>
      <c r="Z170" s="382"/>
      <c r="AA170" s="382"/>
      <c r="AB170" s="382"/>
      <c r="AC170" s="382"/>
      <c r="AD170" s="382"/>
      <c r="AE170" s="382"/>
      <c r="AF170" s="374"/>
    </row>
    <row r="171" spans="1:32">
      <c r="A171" s="401">
        <v>169</v>
      </c>
      <c r="B171" s="401" t="s">
        <v>475</v>
      </c>
      <c r="C171" s="530" t="s">
        <v>613</v>
      </c>
      <c r="D171" s="530" t="s">
        <v>646</v>
      </c>
      <c r="E171" s="530"/>
      <c r="F171" s="389" t="s">
        <v>8</v>
      </c>
      <c r="G171" s="380" t="s">
        <v>262</v>
      </c>
      <c r="H171" s="379">
        <v>1</v>
      </c>
      <c r="I171" s="379">
        <v>15</v>
      </c>
      <c r="J171" s="379">
        <f t="shared" si="10"/>
        <v>1</v>
      </c>
      <c r="K171" s="379">
        <f t="shared" si="13"/>
        <v>15</v>
      </c>
      <c r="L171" s="643">
        <f>IFERROR(IF(B171="funkcna poziadavka",VLOOKUP(G171,MODULY_CBA!$B$3:$E$23,4,0)*H171/SUMIFS($H$3:$H$199,$G$3:$G$199,G171,$B$3:$B$199,B171),),)</f>
        <v>0.47540983606557374</v>
      </c>
      <c r="M171" s="379">
        <f>IFERROR(IF(B171="Funkcna poziadavka",VLOOKUP(G171,MODULY_CBA!$B$3:$E$23,3,0),),)</f>
        <v>0.93499999999999994</v>
      </c>
      <c r="N171" s="379">
        <f>IFERROR(IF(B171="funkcna poziadavka",VLOOKUP(G171,MODULY_CBA!$B$3:$E$23,2,0),),)</f>
        <v>1.18</v>
      </c>
      <c r="O171" s="378">
        <f t="shared" si="14"/>
        <v>17.074019672131147</v>
      </c>
      <c r="P171" s="377">
        <f>IFERROR(O171*VLOOKUP(G171,MODULY_CBA!$B$3:$F$23,5,0),)</f>
        <v>512.22059016393439</v>
      </c>
      <c r="Q171" s="478" t="str">
        <f>IFERROR(VLOOKUP(G171,MODULY_CBA!$B$3:$I$23,6,0),"")</f>
        <v>Inkrement 3</v>
      </c>
      <c r="R171" s="382"/>
      <c r="S171" s="382"/>
      <c r="T171" s="382"/>
      <c r="U171" s="382"/>
      <c r="V171" s="382"/>
      <c r="W171" s="382"/>
      <c r="X171" s="382"/>
      <c r="Y171" s="382"/>
      <c r="Z171" s="382"/>
      <c r="AA171" s="382"/>
      <c r="AB171" s="382"/>
      <c r="AC171" s="382"/>
      <c r="AD171" s="382"/>
      <c r="AE171" s="382"/>
      <c r="AF171" s="374"/>
    </row>
    <row r="172" spans="1:32">
      <c r="A172" s="401">
        <v>170</v>
      </c>
      <c r="B172" s="401" t="s">
        <v>475</v>
      </c>
      <c r="C172" s="530" t="s">
        <v>613</v>
      </c>
      <c r="D172" s="530" t="s">
        <v>647</v>
      </c>
      <c r="E172" s="530"/>
      <c r="F172" s="389" t="s">
        <v>8</v>
      </c>
      <c r="G172" s="380" t="s">
        <v>262</v>
      </c>
      <c r="H172" s="379">
        <v>1</v>
      </c>
      <c r="I172" s="379">
        <v>15</v>
      </c>
      <c r="J172" s="379">
        <f t="shared" si="10"/>
        <v>1</v>
      </c>
      <c r="K172" s="379">
        <f t="shared" si="13"/>
        <v>15</v>
      </c>
      <c r="L172" s="643">
        <f>IFERROR(IF(B172="funkcna poziadavka",VLOOKUP(G172,MODULY_CBA!$B$3:$E$23,4,0)*H172/SUMIFS($H$3:$H$199,$G$3:$G$199,G172,$B$3:$B$199,B172),),)</f>
        <v>0.47540983606557374</v>
      </c>
      <c r="M172" s="379">
        <f>IFERROR(IF(B172="Funkcna poziadavka",VLOOKUP(G172,MODULY_CBA!$B$3:$E$23,3,0),),)</f>
        <v>0.93499999999999994</v>
      </c>
      <c r="N172" s="379">
        <f>IFERROR(IF(B172="funkcna poziadavka",VLOOKUP(G172,MODULY_CBA!$B$3:$E$23,2,0),),)</f>
        <v>1.18</v>
      </c>
      <c r="O172" s="378">
        <f t="shared" si="14"/>
        <v>17.074019672131147</v>
      </c>
      <c r="P172" s="377">
        <f>IFERROR(O172*VLOOKUP(G172,MODULY_CBA!$B$3:$F$23,5,0),)</f>
        <v>512.22059016393439</v>
      </c>
      <c r="Q172" s="478" t="str">
        <f>IFERROR(VLOOKUP(G172,MODULY_CBA!$B$3:$I$23,6,0),"")</f>
        <v>Inkrement 3</v>
      </c>
      <c r="R172" s="382"/>
      <c r="S172" s="382"/>
      <c r="T172" s="382"/>
      <c r="U172" s="382"/>
      <c r="V172" s="382"/>
      <c r="W172" s="382"/>
      <c r="X172" s="382"/>
      <c r="Y172" s="382"/>
      <c r="Z172" s="382"/>
      <c r="AA172" s="382"/>
      <c r="AB172" s="382"/>
      <c r="AC172" s="382"/>
      <c r="AD172" s="382"/>
      <c r="AE172" s="382"/>
      <c r="AF172" s="374"/>
    </row>
    <row r="173" spans="1:32">
      <c r="A173" s="401">
        <v>171</v>
      </c>
      <c r="B173" s="401" t="s">
        <v>475</v>
      </c>
      <c r="C173" s="530" t="s">
        <v>613</v>
      </c>
      <c r="D173" s="530" t="s">
        <v>648</v>
      </c>
      <c r="E173" s="530"/>
      <c r="F173" s="389" t="s">
        <v>8</v>
      </c>
      <c r="G173" s="380" t="s">
        <v>262</v>
      </c>
      <c r="H173" s="379">
        <v>1</v>
      </c>
      <c r="I173" s="379">
        <v>15</v>
      </c>
      <c r="J173" s="379">
        <f t="shared" si="10"/>
        <v>1</v>
      </c>
      <c r="K173" s="379">
        <f t="shared" si="13"/>
        <v>15</v>
      </c>
      <c r="L173" s="643">
        <f>IFERROR(IF(B173="funkcna poziadavka",VLOOKUP(G173,MODULY_CBA!$B$3:$E$23,4,0)*H173/SUMIFS($H$3:$H$199,$G$3:$G$199,G173,$B$3:$B$199,B173),),)</f>
        <v>0.47540983606557374</v>
      </c>
      <c r="M173" s="379">
        <f>IFERROR(IF(B173="Funkcna poziadavka",VLOOKUP(G173,MODULY_CBA!$B$3:$E$23,3,0),),)</f>
        <v>0.93499999999999994</v>
      </c>
      <c r="N173" s="379">
        <f>IFERROR(IF(B173="funkcna poziadavka",VLOOKUP(G173,MODULY_CBA!$B$3:$E$23,2,0),),)</f>
        <v>1.18</v>
      </c>
      <c r="O173" s="378">
        <f t="shared" si="14"/>
        <v>17.074019672131147</v>
      </c>
      <c r="P173" s="377">
        <f>IFERROR(O173*VLOOKUP(G173,MODULY_CBA!$B$3:$F$23,5,0),)</f>
        <v>512.22059016393439</v>
      </c>
      <c r="Q173" s="478" t="str">
        <f>IFERROR(VLOOKUP(G173,MODULY_CBA!$B$3:$I$23,6,0),"")</f>
        <v>Inkrement 3</v>
      </c>
      <c r="R173" s="382"/>
      <c r="S173" s="382"/>
      <c r="T173" s="382"/>
      <c r="U173" s="382"/>
      <c r="V173" s="382"/>
      <c r="W173" s="382"/>
      <c r="X173" s="382"/>
      <c r="Y173" s="382"/>
      <c r="Z173" s="382"/>
      <c r="AA173" s="382"/>
      <c r="AB173" s="382"/>
      <c r="AC173" s="382"/>
      <c r="AD173" s="382"/>
      <c r="AE173" s="382"/>
      <c r="AF173" s="374"/>
    </row>
    <row r="174" spans="1:32">
      <c r="A174" s="401">
        <v>172</v>
      </c>
      <c r="B174" s="401" t="s">
        <v>475</v>
      </c>
      <c r="C174" s="530" t="s">
        <v>613</v>
      </c>
      <c r="D174" s="530" t="s">
        <v>649</v>
      </c>
      <c r="E174" s="530"/>
      <c r="F174" s="389" t="s">
        <v>8</v>
      </c>
      <c r="G174" s="380" t="s">
        <v>262</v>
      </c>
      <c r="H174" s="379">
        <v>1</v>
      </c>
      <c r="I174" s="379">
        <v>15</v>
      </c>
      <c r="J174" s="379">
        <f t="shared" si="10"/>
        <v>1</v>
      </c>
      <c r="K174" s="379">
        <f t="shared" si="13"/>
        <v>15</v>
      </c>
      <c r="L174" s="643">
        <f>IFERROR(IF(B174="funkcna poziadavka",VLOOKUP(G174,MODULY_CBA!$B$3:$E$23,4,0)*H174/SUMIFS($H$3:$H$199,$G$3:$G$199,G174,$B$3:$B$199,B174),),)</f>
        <v>0.47540983606557374</v>
      </c>
      <c r="M174" s="379">
        <f>IFERROR(IF(B174="Funkcna poziadavka",VLOOKUP(G174,MODULY_CBA!$B$3:$E$23,3,0),),)</f>
        <v>0.93499999999999994</v>
      </c>
      <c r="N174" s="379">
        <f>IFERROR(IF(B174="funkcna poziadavka",VLOOKUP(G174,MODULY_CBA!$B$3:$E$23,2,0),),)</f>
        <v>1.18</v>
      </c>
      <c r="O174" s="378">
        <f t="shared" si="14"/>
        <v>17.074019672131147</v>
      </c>
      <c r="P174" s="377">
        <f>IFERROR(O174*VLOOKUP(G174,MODULY_CBA!$B$3:$F$23,5,0),)</f>
        <v>512.22059016393439</v>
      </c>
      <c r="Q174" s="478" t="str">
        <f>IFERROR(VLOOKUP(G174,MODULY_CBA!$B$3:$I$23,6,0),"")</f>
        <v>Inkrement 3</v>
      </c>
      <c r="R174" s="382"/>
      <c r="S174" s="382"/>
      <c r="T174" s="382"/>
      <c r="U174" s="382"/>
      <c r="V174" s="382"/>
      <c r="W174" s="382"/>
      <c r="X174" s="382"/>
      <c r="Y174" s="382"/>
      <c r="Z174" s="382"/>
      <c r="AA174" s="382"/>
      <c r="AB174" s="382"/>
      <c r="AC174" s="382"/>
      <c r="AD174" s="382"/>
      <c r="AE174" s="382"/>
      <c r="AF174" s="374"/>
    </row>
    <row r="175" spans="1:32">
      <c r="A175" s="401">
        <v>173</v>
      </c>
      <c r="B175" s="401" t="s">
        <v>475</v>
      </c>
      <c r="C175" s="530" t="s">
        <v>613</v>
      </c>
      <c r="D175" s="530" t="s">
        <v>650</v>
      </c>
      <c r="E175" s="530"/>
      <c r="F175" s="389" t="s">
        <v>8</v>
      </c>
      <c r="G175" s="380" t="s">
        <v>262</v>
      </c>
      <c r="H175" s="379">
        <v>1</v>
      </c>
      <c r="I175" s="379">
        <v>15</v>
      </c>
      <c r="J175" s="379">
        <f t="shared" si="10"/>
        <v>1</v>
      </c>
      <c r="K175" s="379">
        <f t="shared" si="13"/>
        <v>15</v>
      </c>
      <c r="L175" s="643">
        <f>IFERROR(IF(B175="funkcna poziadavka",VLOOKUP(G175,MODULY_CBA!$B$3:$E$23,4,0)*H175/SUMIFS($H$3:$H$199,$G$3:$G$199,G175,$B$3:$B$199,B175),),)</f>
        <v>0.47540983606557374</v>
      </c>
      <c r="M175" s="379">
        <f>IFERROR(IF(B175="Funkcna poziadavka",VLOOKUP(G175,MODULY_CBA!$B$3:$E$23,3,0),),)</f>
        <v>0.93499999999999994</v>
      </c>
      <c r="N175" s="379">
        <f>IFERROR(IF(B175="funkcna poziadavka",VLOOKUP(G175,MODULY_CBA!$B$3:$E$23,2,0),),)</f>
        <v>1.18</v>
      </c>
      <c r="O175" s="378">
        <f t="shared" si="14"/>
        <v>17.074019672131147</v>
      </c>
      <c r="P175" s="377">
        <f>IFERROR(O175*VLOOKUP(G175,MODULY_CBA!$B$3:$F$23,5,0),)</f>
        <v>512.22059016393439</v>
      </c>
      <c r="Q175" s="478" t="str">
        <f>IFERROR(VLOOKUP(G175,MODULY_CBA!$B$3:$I$23,6,0),"")</f>
        <v>Inkrement 3</v>
      </c>
      <c r="R175" s="382"/>
      <c r="S175" s="382"/>
      <c r="T175" s="382"/>
      <c r="U175" s="382"/>
      <c r="V175" s="382"/>
      <c r="W175" s="382"/>
      <c r="X175" s="382"/>
      <c r="Y175" s="382"/>
      <c r="Z175" s="382"/>
      <c r="AA175" s="382"/>
      <c r="AB175" s="382"/>
      <c r="AC175" s="382"/>
      <c r="AD175" s="382"/>
      <c r="AE175" s="382"/>
      <c r="AF175" s="374"/>
    </row>
    <row r="176" spans="1:32">
      <c r="A176" s="401">
        <v>174</v>
      </c>
      <c r="B176" s="401" t="s">
        <v>475</v>
      </c>
      <c r="C176" s="530" t="s">
        <v>613</v>
      </c>
      <c r="D176" s="530" t="s">
        <v>651</v>
      </c>
      <c r="E176" s="530"/>
      <c r="F176" s="389" t="s">
        <v>8</v>
      </c>
      <c r="G176" s="380" t="s">
        <v>262</v>
      </c>
      <c r="H176" s="379">
        <v>1</v>
      </c>
      <c r="I176" s="379">
        <v>15</v>
      </c>
      <c r="J176" s="379">
        <f t="shared" si="10"/>
        <v>1</v>
      </c>
      <c r="K176" s="379">
        <f t="shared" si="13"/>
        <v>15</v>
      </c>
      <c r="L176" s="643">
        <f>IFERROR(IF(B176="funkcna poziadavka",VLOOKUP(G176,MODULY_CBA!$B$3:$E$23,4,0)*H176/SUMIFS($H$3:$H$199,$G$3:$G$199,G176,$B$3:$B$199,B176),),)</f>
        <v>0.47540983606557374</v>
      </c>
      <c r="M176" s="379">
        <f>IFERROR(IF(B176="Funkcna poziadavka",VLOOKUP(G176,MODULY_CBA!$B$3:$E$23,3,0),),)</f>
        <v>0.93499999999999994</v>
      </c>
      <c r="N176" s="379">
        <f>IFERROR(IF(B176="funkcna poziadavka",VLOOKUP(G176,MODULY_CBA!$B$3:$E$23,2,0),),)</f>
        <v>1.18</v>
      </c>
      <c r="O176" s="378">
        <f t="shared" si="14"/>
        <v>17.074019672131147</v>
      </c>
      <c r="P176" s="377">
        <f>IFERROR(O176*VLOOKUP(G176,MODULY_CBA!$B$3:$F$23,5,0),)</f>
        <v>512.22059016393439</v>
      </c>
      <c r="Q176" s="478" t="str">
        <f>IFERROR(VLOOKUP(G176,MODULY_CBA!$B$3:$I$23,6,0),"")</f>
        <v>Inkrement 3</v>
      </c>
      <c r="R176" s="382"/>
      <c r="S176" s="382"/>
      <c r="T176" s="382"/>
      <c r="U176" s="382"/>
      <c r="V176" s="382"/>
      <c r="W176" s="382"/>
      <c r="X176" s="382"/>
      <c r="Y176" s="382"/>
      <c r="Z176" s="382"/>
      <c r="AA176" s="382"/>
      <c r="AB176" s="382"/>
      <c r="AC176" s="382"/>
      <c r="AD176" s="382"/>
      <c r="AE176" s="382"/>
      <c r="AF176" s="374"/>
    </row>
    <row r="177" spans="1:32">
      <c r="A177" s="401">
        <v>175</v>
      </c>
      <c r="B177" s="401" t="s">
        <v>475</v>
      </c>
      <c r="C177" s="530" t="s">
        <v>613</v>
      </c>
      <c r="D177" s="530" t="s">
        <v>652</v>
      </c>
      <c r="E177" s="530"/>
      <c r="F177" s="389" t="s">
        <v>8</v>
      </c>
      <c r="G177" s="380" t="s">
        <v>262</v>
      </c>
      <c r="H177" s="379">
        <v>1</v>
      </c>
      <c r="I177" s="379">
        <v>15</v>
      </c>
      <c r="J177" s="379">
        <f t="shared" si="10"/>
        <v>1</v>
      </c>
      <c r="K177" s="379">
        <f t="shared" si="13"/>
        <v>15</v>
      </c>
      <c r="L177" s="643">
        <f>IFERROR(IF(B177="funkcna poziadavka",VLOOKUP(G177,MODULY_CBA!$B$3:$E$23,4,0)*H177/SUMIFS($H$3:$H$199,$G$3:$G$199,G177,$B$3:$B$199,B177),),)</f>
        <v>0.47540983606557374</v>
      </c>
      <c r="M177" s="379">
        <f>IFERROR(IF(B177="Funkcna poziadavka",VLOOKUP(G177,MODULY_CBA!$B$3:$E$23,3,0),),)</f>
        <v>0.93499999999999994</v>
      </c>
      <c r="N177" s="379">
        <f>IFERROR(IF(B177="funkcna poziadavka",VLOOKUP(G177,MODULY_CBA!$B$3:$E$23,2,0),),)</f>
        <v>1.18</v>
      </c>
      <c r="O177" s="378">
        <f t="shared" si="14"/>
        <v>17.074019672131147</v>
      </c>
      <c r="P177" s="377">
        <f>IFERROR(O177*VLOOKUP(G177,MODULY_CBA!$B$3:$F$23,5,0),)</f>
        <v>512.22059016393439</v>
      </c>
      <c r="Q177" s="478" t="str">
        <f>IFERROR(VLOOKUP(G177,MODULY_CBA!$B$3:$I$23,6,0),"")</f>
        <v>Inkrement 3</v>
      </c>
      <c r="R177" s="382"/>
      <c r="S177" s="382"/>
      <c r="T177" s="382"/>
      <c r="U177" s="382"/>
      <c r="V177" s="382"/>
      <c r="W177" s="382"/>
      <c r="X177" s="382"/>
      <c r="Y177" s="382"/>
      <c r="Z177" s="382"/>
      <c r="AA177" s="382"/>
      <c r="AB177" s="382"/>
      <c r="AC177" s="382"/>
      <c r="AD177" s="382"/>
      <c r="AE177" s="382"/>
      <c r="AF177" s="374"/>
    </row>
    <row r="178" spans="1:32">
      <c r="A178" s="401">
        <v>176</v>
      </c>
      <c r="B178" s="401" t="s">
        <v>475</v>
      </c>
      <c r="C178" s="530" t="s">
        <v>613</v>
      </c>
      <c r="D178" s="530" t="s">
        <v>653</v>
      </c>
      <c r="E178" s="530"/>
      <c r="F178" s="389" t="s">
        <v>8</v>
      </c>
      <c r="G178" s="380" t="s">
        <v>262</v>
      </c>
      <c r="H178" s="379">
        <v>1</v>
      </c>
      <c r="I178" s="379">
        <v>15</v>
      </c>
      <c r="J178" s="379">
        <f t="shared" si="10"/>
        <v>1</v>
      </c>
      <c r="K178" s="379">
        <f t="shared" si="13"/>
        <v>15</v>
      </c>
      <c r="L178" s="643">
        <f>IFERROR(IF(B178="funkcna poziadavka",VLOOKUP(G178,MODULY_CBA!$B$3:$E$23,4,0)*H178/SUMIFS($H$3:$H$199,$G$3:$G$199,G178,$B$3:$B$199,B178),),)</f>
        <v>0.47540983606557374</v>
      </c>
      <c r="M178" s="379">
        <f>IFERROR(IF(B178="Funkcna poziadavka",VLOOKUP(G178,MODULY_CBA!$B$3:$E$23,3,0),),)</f>
        <v>0.93499999999999994</v>
      </c>
      <c r="N178" s="379">
        <f>IFERROR(IF(B178="funkcna poziadavka",VLOOKUP(G178,MODULY_CBA!$B$3:$E$23,2,0),),)</f>
        <v>1.18</v>
      </c>
      <c r="O178" s="378">
        <f t="shared" si="14"/>
        <v>17.074019672131147</v>
      </c>
      <c r="P178" s="377">
        <f>IFERROR(O178*VLOOKUP(G178,MODULY_CBA!$B$3:$F$23,5,0),)</f>
        <v>512.22059016393439</v>
      </c>
      <c r="Q178" s="478" t="str">
        <f>IFERROR(VLOOKUP(G178,MODULY_CBA!$B$3:$I$23,6,0),"")</f>
        <v>Inkrement 3</v>
      </c>
      <c r="R178" s="382"/>
      <c r="S178" s="382"/>
      <c r="T178" s="382"/>
      <c r="U178" s="382"/>
      <c r="V178" s="382"/>
      <c r="W178" s="382"/>
      <c r="X178" s="382"/>
      <c r="Y178" s="382"/>
      <c r="Z178" s="382"/>
      <c r="AA178" s="382"/>
      <c r="AB178" s="382"/>
      <c r="AC178" s="382"/>
      <c r="AD178" s="382"/>
      <c r="AE178" s="382"/>
      <c r="AF178" s="374"/>
    </row>
    <row r="179" spans="1:32">
      <c r="A179" s="401">
        <v>177</v>
      </c>
      <c r="B179" s="401" t="s">
        <v>475</v>
      </c>
      <c r="C179" s="530" t="s">
        <v>613</v>
      </c>
      <c r="D179" s="530" t="s">
        <v>654</v>
      </c>
      <c r="E179" s="530"/>
      <c r="F179" s="389" t="s">
        <v>8</v>
      </c>
      <c r="G179" s="380" t="s">
        <v>262</v>
      </c>
      <c r="H179" s="379">
        <v>1</v>
      </c>
      <c r="I179" s="379">
        <v>15</v>
      </c>
      <c r="J179" s="379">
        <f t="shared" si="10"/>
        <v>1</v>
      </c>
      <c r="K179" s="379">
        <f t="shared" si="13"/>
        <v>15</v>
      </c>
      <c r="L179" s="643">
        <f>IFERROR(IF(B179="funkcna poziadavka",VLOOKUP(G179,MODULY_CBA!$B$3:$E$23,4,0)*H179/SUMIFS($H$3:$H$199,$G$3:$G$199,G179,$B$3:$B$199,B179),),)</f>
        <v>0.47540983606557374</v>
      </c>
      <c r="M179" s="379">
        <f>IFERROR(IF(B179="Funkcna poziadavka",VLOOKUP(G179,MODULY_CBA!$B$3:$E$23,3,0),),)</f>
        <v>0.93499999999999994</v>
      </c>
      <c r="N179" s="379">
        <f>IFERROR(IF(B179="funkcna poziadavka",VLOOKUP(G179,MODULY_CBA!$B$3:$E$23,2,0),),)</f>
        <v>1.18</v>
      </c>
      <c r="O179" s="378">
        <f t="shared" si="14"/>
        <v>17.074019672131147</v>
      </c>
      <c r="P179" s="377">
        <f>IFERROR(O179*VLOOKUP(G179,MODULY_CBA!$B$3:$F$23,5,0),)</f>
        <v>512.22059016393439</v>
      </c>
      <c r="Q179" s="478" t="str">
        <f>IFERROR(VLOOKUP(G179,MODULY_CBA!$B$3:$I$23,6,0),"")</f>
        <v>Inkrement 3</v>
      </c>
      <c r="R179" s="382"/>
      <c r="S179" s="382"/>
      <c r="T179" s="382"/>
      <c r="U179" s="382"/>
      <c r="V179" s="382"/>
      <c r="W179" s="382"/>
      <c r="X179" s="382"/>
      <c r="Y179" s="382"/>
      <c r="Z179" s="382"/>
      <c r="AA179" s="382"/>
      <c r="AB179" s="382"/>
      <c r="AC179" s="382"/>
      <c r="AD179" s="382"/>
      <c r="AE179" s="382"/>
      <c r="AF179" s="374"/>
    </row>
    <row r="180" spans="1:32">
      <c r="A180" s="401">
        <v>178</v>
      </c>
      <c r="B180" s="401" t="s">
        <v>475</v>
      </c>
      <c r="C180" s="530" t="s">
        <v>613</v>
      </c>
      <c r="D180" s="530" t="s">
        <v>655</v>
      </c>
      <c r="E180" s="530"/>
      <c r="F180" s="389" t="s">
        <v>8</v>
      </c>
      <c r="G180" s="380" t="s">
        <v>262</v>
      </c>
      <c r="H180" s="379">
        <v>1</v>
      </c>
      <c r="I180" s="379">
        <v>15</v>
      </c>
      <c r="J180" s="379">
        <f t="shared" si="10"/>
        <v>1</v>
      </c>
      <c r="K180" s="379">
        <f t="shared" si="13"/>
        <v>15</v>
      </c>
      <c r="L180" s="643">
        <f>IFERROR(IF(B180="funkcna poziadavka",VLOOKUP(G180,MODULY_CBA!$B$3:$E$23,4,0)*H180/SUMIFS($H$3:$H$199,$G$3:$G$199,G180,$B$3:$B$199,B180),),)</f>
        <v>0.47540983606557374</v>
      </c>
      <c r="M180" s="379">
        <f>IFERROR(IF(B180="Funkcna poziadavka",VLOOKUP(G180,MODULY_CBA!$B$3:$E$23,3,0),),)</f>
        <v>0.93499999999999994</v>
      </c>
      <c r="N180" s="379">
        <f>IFERROR(IF(B180="funkcna poziadavka",VLOOKUP(G180,MODULY_CBA!$B$3:$E$23,2,0),),)</f>
        <v>1.18</v>
      </c>
      <c r="O180" s="378">
        <f t="shared" si="14"/>
        <v>17.074019672131147</v>
      </c>
      <c r="P180" s="377">
        <f>IFERROR(O180*VLOOKUP(G180,MODULY_CBA!$B$3:$F$23,5,0),)</f>
        <v>512.22059016393439</v>
      </c>
      <c r="Q180" s="478" t="str">
        <f>IFERROR(VLOOKUP(G180,MODULY_CBA!$B$3:$I$23,6,0),"")</f>
        <v>Inkrement 3</v>
      </c>
      <c r="R180" s="382"/>
      <c r="S180" s="382"/>
      <c r="T180" s="382"/>
      <c r="U180" s="382"/>
      <c r="V180" s="382"/>
      <c r="W180" s="382"/>
      <c r="X180" s="382"/>
      <c r="Y180" s="382"/>
      <c r="Z180" s="382"/>
      <c r="AA180" s="382"/>
      <c r="AB180" s="382"/>
      <c r="AC180" s="382"/>
      <c r="AD180" s="382"/>
      <c r="AE180" s="382"/>
      <c r="AF180" s="374"/>
    </row>
    <row r="181" spans="1:32">
      <c r="A181" s="401">
        <v>179</v>
      </c>
      <c r="B181" s="401" t="s">
        <v>475</v>
      </c>
      <c r="C181" s="530" t="s">
        <v>613</v>
      </c>
      <c r="D181" s="530" t="s">
        <v>656</v>
      </c>
      <c r="E181" s="530"/>
      <c r="F181" s="389" t="s">
        <v>8</v>
      </c>
      <c r="G181" s="380" t="s">
        <v>262</v>
      </c>
      <c r="H181" s="379">
        <v>1</v>
      </c>
      <c r="I181" s="379">
        <v>15</v>
      </c>
      <c r="J181" s="379">
        <f t="shared" si="10"/>
        <v>1</v>
      </c>
      <c r="K181" s="379">
        <f t="shared" si="13"/>
        <v>15</v>
      </c>
      <c r="L181" s="643">
        <f>IFERROR(IF(B181="funkcna poziadavka",VLOOKUP(G181,MODULY_CBA!$B$3:$E$23,4,0)*H181/SUMIFS($H$3:$H$199,$G$3:$G$199,G181,$B$3:$B$199,B181),),)</f>
        <v>0.47540983606557374</v>
      </c>
      <c r="M181" s="379">
        <f>IFERROR(IF(B181="Funkcna poziadavka",VLOOKUP(G181,MODULY_CBA!$B$3:$E$23,3,0),),)</f>
        <v>0.93499999999999994</v>
      </c>
      <c r="N181" s="379">
        <f>IFERROR(IF(B181="funkcna poziadavka",VLOOKUP(G181,MODULY_CBA!$B$3:$E$23,2,0),),)</f>
        <v>1.18</v>
      </c>
      <c r="O181" s="378">
        <f t="shared" si="14"/>
        <v>17.074019672131147</v>
      </c>
      <c r="P181" s="377">
        <f>IFERROR(O181*VLOOKUP(G181,MODULY_CBA!$B$3:$F$23,5,0),)</f>
        <v>512.22059016393439</v>
      </c>
      <c r="Q181" s="478" t="str">
        <f>IFERROR(VLOOKUP(G181,MODULY_CBA!$B$3:$I$23,6,0),"")</f>
        <v>Inkrement 3</v>
      </c>
      <c r="R181" s="382"/>
      <c r="S181" s="382"/>
      <c r="T181" s="382"/>
      <c r="U181" s="382"/>
      <c r="V181" s="382"/>
      <c r="W181" s="382"/>
      <c r="X181" s="382"/>
      <c r="Y181" s="382"/>
      <c r="Z181" s="382"/>
      <c r="AA181" s="382"/>
      <c r="AB181" s="382"/>
      <c r="AC181" s="382"/>
      <c r="AD181" s="382"/>
      <c r="AE181" s="382"/>
      <c r="AF181" s="374"/>
    </row>
    <row r="182" spans="1:32">
      <c r="A182" s="401">
        <v>180</v>
      </c>
      <c r="B182" s="401" t="s">
        <v>475</v>
      </c>
      <c r="C182" s="530" t="s">
        <v>613</v>
      </c>
      <c r="D182" s="530" t="s">
        <v>657</v>
      </c>
      <c r="E182" s="389"/>
      <c r="F182" s="389" t="s">
        <v>8</v>
      </c>
      <c r="G182" s="380" t="s">
        <v>262</v>
      </c>
      <c r="H182" s="379">
        <v>1</v>
      </c>
      <c r="I182" s="379">
        <v>15</v>
      </c>
      <c r="J182" s="379">
        <f t="shared" si="10"/>
        <v>1</v>
      </c>
      <c r="K182" s="379">
        <f t="shared" si="13"/>
        <v>15</v>
      </c>
      <c r="L182" s="643">
        <f>IFERROR(IF(B182="funkcna poziadavka",VLOOKUP(G182,MODULY_CBA!$B$3:$E$23,4,0)*H182/SUMIFS($H$3:$H$199,$G$3:$G$199,G182,$B$3:$B$199,B182),),)</f>
        <v>0.47540983606557374</v>
      </c>
      <c r="M182" s="379">
        <f>IFERROR(IF(B182="Funkcna poziadavka",VLOOKUP(G182,MODULY_CBA!$B$3:$E$23,3,0),),)</f>
        <v>0.93499999999999994</v>
      </c>
      <c r="N182" s="379">
        <f>IFERROR(IF(B182="funkcna poziadavka",VLOOKUP(G182,MODULY_CBA!$B$3:$E$23,2,0),),)</f>
        <v>1.18</v>
      </c>
      <c r="O182" s="378">
        <f t="shared" si="14"/>
        <v>17.074019672131147</v>
      </c>
      <c r="P182" s="377">
        <f>IFERROR(O182*VLOOKUP(G182,MODULY_CBA!$B$3:$F$23,5,0),)</f>
        <v>512.22059016393439</v>
      </c>
      <c r="Q182" s="478" t="str">
        <f>IFERROR(VLOOKUP(G182,MODULY_CBA!$B$3:$I$23,6,0),"")</f>
        <v>Inkrement 3</v>
      </c>
      <c r="R182" s="382"/>
      <c r="S182" s="382"/>
      <c r="T182" s="382"/>
      <c r="U182" s="382"/>
      <c r="V182" s="382"/>
      <c r="W182" s="382"/>
      <c r="X182" s="382"/>
      <c r="Y182" s="382"/>
      <c r="Z182" s="382"/>
      <c r="AA182" s="382"/>
      <c r="AB182" s="382"/>
      <c r="AC182" s="382"/>
      <c r="AD182" s="382"/>
      <c r="AE182" s="382"/>
      <c r="AF182" s="374"/>
    </row>
    <row r="183" spans="1:32">
      <c r="A183" s="401">
        <v>181</v>
      </c>
      <c r="B183" s="401" t="s">
        <v>475</v>
      </c>
      <c r="C183" s="530" t="s">
        <v>613</v>
      </c>
      <c r="D183" s="530" t="s">
        <v>658</v>
      </c>
      <c r="E183" s="389"/>
      <c r="F183" s="389" t="s">
        <v>8</v>
      </c>
      <c r="G183" s="380" t="s">
        <v>262</v>
      </c>
      <c r="H183" s="379">
        <v>1</v>
      </c>
      <c r="I183" s="379">
        <v>15</v>
      </c>
      <c r="J183" s="379">
        <f t="shared" si="10"/>
        <v>1</v>
      </c>
      <c r="K183" s="379">
        <f t="shared" si="13"/>
        <v>15</v>
      </c>
      <c r="L183" s="643">
        <f>IFERROR(IF(B183="funkcna poziadavka",VLOOKUP(G183,MODULY_CBA!$B$3:$E$23,4,0)*H183/SUMIFS($H$3:$H$199,$G$3:$G$199,G183,$B$3:$B$199,B183),),)</f>
        <v>0.47540983606557374</v>
      </c>
      <c r="M183" s="379">
        <f>IFERROR(IF(B183="Funkcna poziadavka",VLOOKUP(G183,MODULY_CBA!$B$3:$E$23,3,0),),)</f>
        <v>0.93499999999999994</v>
      </c>
      <c r="N183" s="379">
        <f>IFERROR(IF(B183="funkcna poziadavka",VLOOKUP(G183,MODULY_CBA!$B$3:$E$23,2,0),),)</f>
        <v>1.18</v>
      </c>
      <c r="O183" s="378">
        <f t="shared" si="14"/>
        <v>17.074019672131147</v>
      </c>
      <c r="P183" s="377">
        <f>IFERROR(O183*VLOOKUP(G183,MODULY_CBA!$B$3:$F$23,5,0),)</f>
        <v>512.22059016393439</v>
      </c>
      <c r="Q183" s="478" t="str">
        <f>IFERROR(VLOOKUP(G183,MODULY_CBA!$B$3:$I$23,6,0),"")</f>
        <v>Inkrement 3</v>
      </c>
      <c r="R183" s="382"/>
      <c r="S183" s="382"/>
      <c r="T183" s="382"/>
      <c r="U183" s="382"/>
      <c r="V183" s="382"/>
      <c r="W183" s="382"/>
      <c r="X183" s="382"/>
      <c r="Y183" s="382"/>
      <c r="Z183" s="382"/>
      <c r="AA183" s="382"/>
      <c r="AB183" s="382"/>
      <c r="AC183" s="382"/>
      <c r="AD183" s="382"/>
      <c r="AE183" s="382"/>
      <c r="AF183" s="374"/>
    </row>
    <row r="184" spans="1:32">
      <c r="A184" s="401">
        <v>182</v>
      </c>
      <c r="B184" s="401" t="s">
        <v>475</v>
      </c>
      <c r="C184" s="530" t="s">
        <v>613</v>
      </c>
      <c r="D184" s="530" t="s">
        <v>659</v>
      </c>
      <c r="E184" s="530"/>
      <c r="F184" s="389" t="s">
        <v>8</v>
      </c>
      <c r="G184" s="380" t="s">
        <v>262</v>
      </c>
      <c r="H184" s="379">
        <v>1</v>
      </c>
      <c r="I184" s="379">
        <v>15</v>
      </c>
      <c r="J184" s="379">
        <f t="shared" si="10"/>
        <v>1</v>
      </c>
      <c r="K184" s="379">
        <f t="shared" si="13"/>
        <v>15</v>
      </c>
      <c r="L184" s="643">
        <f>IFERROR(IF(B184="funkcna poziadavka",VLOOKUP(G184,MODULY_CBA!$B$3:$E$23,4,0)*H184/SUMIFS($H$3:$H$199,$G$3:$G$199,G184,$B$3:$B$199,B184),),)</f>
        <v>0.47540983606557374</v>
      </c>
      <c r="M184" s="379">
        <f>IFERROR(IF(B184="Funkcna poziadavka",VLOOKUP(G184,MODULY_CBA!$B$3:$E$23,3,0),),)</f>
        <v>0.93499999999999994</v>
      </c>
      <c r="N184" s="379">
        <f>IFERROR(IF(B184="funkcna poziadavka",VLOOKUP(G184,MODULY_CBA!$B$3:$E$23,2,0),),)</f>
        <v>1.18</v>
      </c>
      <c r="O184" s="378">
        <f t="shared" si="14"/>
        <v>17.074019672131147</v>
      </c>
      <c r="P184" s="377">
        <f>IFERROR(O184*VLOOKUP(G184,MODULY_CBA!$B$3:$F$23,5,0),)</f>
        <v>512.22059016393439</v>
      </c>
      <c r="Q184" s="478" t="str">
        <f>IFERROR(VLOOKUP(G184,MODULY_CBA!$B$3:$I$23,6,0),"")</f>
        <v>Inkrement 3</v>
      </c>
      <c r="R184" s="382"/>
      <c r="S184" s="382"/>
      <c r="T184" s="382"/>
      <c r="U184" s="382"/>
      <c r="V184" s="382"/>
      <c r="W184" s="382"/>
      <c r="X184" s="382"/>
      <c r="Y184" s="382"/>
      <c r="Z184" s="382"/>
      <c r="AA184" s="382"/>
      <c r="AB184" s="382"/>
      <c r="AC184" s="382"/>
      <c r="AD184" s="382"/>
      <c r="AE184" s="382"/>
      <c r="AF184" s="374"/>
    </row>
    <row r="185" spans="1:32">
      <c r="A185" s="401">
        <v>183</v>
      </c>
      <c r="B185" s="401" t="s">
        <v>475</v>
      </c>
      <c r="C185" s="530" t="s">
        <v>613</v>
      </c>
      <c r="D185" s="530" t="s">
        <v>660</v>
      </c>
      <c r="E185" s="530"/>
      <c r="F185" s="389" t="s">
        <v>8</v>
      </c>
      <c r="G185" s="380" t="s">
        <v>262</v>
      </c>
      <c r="H185" s="379">
        <v>1</v>
      </c>
      <c r="I185" s="379">
        <v>15</v>
      </c>
      <c r="J185" s="379">
        <f t="shared" si="10"/>
        <v>1</v>
      </c>
      <c r="K185" s="379">
        <f t="shared" si="13"/>
        <v>15</v>
      </c>
      <c r="L185" s="643">
        <f>IFERROR(IF(B185="funkcna poziadavka",VLOOKUP(G185,MODULY_CBA!$B$3:$E$23,4,0)*H185/SUMIFS($H$3:$H$199,$G$3:$G$199,G185,$B$3:$B$199,B185),),)</f>
        <v>0.47540983606557374</v>
      </c>
      <c r="M185" s="379">
        <f>IFERROR(IF(B185="Funkcna poziadavka",VLOOKUP(G185,MODULY_CBA!$B$3:$E$23,3,0),),)</f>
        <v>0.93499999999999994</v>
      </c>
      <c r="N185" s="379">
        <f>IFERROR(IF(B185="funkcna poziadavka",VLOOKUP(G185,MODULY_CBA!$B$3:$E$23,2,0),),)</f>
        <v>1.18</v>
      </c>
      <c r="O185" s="378">
        <f t="shared" si="14"/>
        <v>17.074019672131147</v>
      </c>
      <c r="P185" s="377">
        <f>IFERROR(O185*VLOOKUP(G185,MODULY_CBA!$B$3:$F$23,5,0),)</f>
        <v>512.22059016393439</v>
      </c>
      <c r="Q185" s="478" t="str">
        <f>IFERROR(VLOOKUP(G185,MODULY_CBA!$B$3:$I$23,6,0),"")</f>
        <v>Inkrement 3</v>
      </c>
      <c r="R185" s="382"/>
      <c r="S185" s="382"/>
      <c r="T185" s="382"/>
      <c r="U185" s="382"/>
      <c r="V185" s="382"/>
      <c r="W185" s="382"/>
      <c r="X185" s="382"/>
      <c r="Y185" s="382"/>
      <c r="Z185" s="382"/>
      <c r="AA185" s="382"/>
      <c r="AB185" s="382"/>
      <c r="AC185" s="382"/>
      <c r="AD185" s="382"/>
      <c r="AE185" s="382"/>
      <c r="AF185" s="374"/>
    </row>
    <row r="186" spans="1:32">
      <c r="A186" s="401">
        <v>184</v>
      </c>
      <c r="B186" s="401" t="s">
        <v>475</v>
      </c>
      <c r="C186" s="530" t="s">
        <v>613</v>
      </c>
      <c r="D186" s="530" t="s">
        <v>661</v>
      </c>
      <c r="E186" s="530"/>
      <c r="F186" s="389" t="s">
        <v>8</v>
      </c>
      <c r="G186" s="380" t="s">
        <v>262</v>
      </c>
      <c r="H186" s="379">
        <v>1</v>
      </c>
      <c r="I186" s="379">
        <v>15</v>
      </c>
      <c r="J186" s="379">
        <f t="shared" si="10"/>
        <v>1</v>
      </c>
      <c r="K186" s="379">
        <f t="shared" si="13"/>
        <v>15</v>
      </c>
      <c r="L186" s="643">
        <f>IFERROR(IF(B186="funkcna poziadavka",VLOOKUP(G186,MODULY_CBA!$B$3:$E$23,4,0)*H186/SUMIFS($H$3:$H$199,$G$3:$G$199,G186,$B$3:$B$199,B186),),)</f>
        <v>0.47540983606557374</v>
      </c>
      <c r="M186" s="379">
        <f>IFERROR(IF(B186="Funkcna poziadavka",VLOOKUP(G186,MODULY_CBA!$B$3:$E$23,3,0),),)</f>
        <v>0.93499999999999994</v>
      </c>
      <c r="N186" s="379">
        <f>IFERROR(IF(B186="funkcna poziadavka",VLOOKUP(G186,MODULY_CBA!$B$3:$E$23,2,0),),)</f>
        <v>1.18</v>
      </c>
      <c r="O186" s="378">
        <f t="shared" si="14"/>
        <v>17.074019672131147</v>
      </c>
      <c r="P186" s="377">
        <f>IFERROR(O186*VLOOKUP(G186,MODULY_CBA!$B$3:$F$23,5,0),)</f>
        <v>512.22059016393439</v>
      </c>
      <c r="Q186" s="478" t="str">
        <f>IFERROR(VLOOKUP(G186,MODULY_CBA!$B$3:$I$23,6,0),"")</f>
        <v>Inkrement 3</v>
      </c>
      <c r="R186" s="382"/>
      <c r="S186" s="382"/>
      <c r="T186" s="382"/>
      <c r="U186" s="382"/>
      <c r="V186" s="382"/>
      <c r="W186" s="382"/>
      <c r="X186" s="382"/>
      <c r="Y186" s="382"/>
      <c r="Z186" s="382"/>
      <c r="AA186" s="382"/>
      <c r="AB186" s="382"/>
      <c r="AC186" s="382"/>
      <c r="AD186" s="382"/>
      <c r="AE186" s="382"/>
      <c r="AF186" s="374"/>
    </row>
    <row r="187" spans="1:32">
      <c r="A187" s="401">
        <v>185</v>
      </c>
      <c r="B187" s="401" t="s">
        <v>475</v>
      </c>
      <c r="C187" s="530" t="s">
        <v>613</v>
      </c>
      <c r="D187" s="530" t="s">
        <v>662</v>
      </c>
      <c r="E187" s="530"/>
      <c r="F187" s="389" t="s">
        <v>8</v>
      </c>
      <c r="G187" s="380" t="s">
        <v>262</v>
      </c>
      <c r="H187" s="379">
        <v>1</v>
      </c>
      <c r="I187" s="379">
        <v>15</v>
      </c>
      <c r="J187" s="379">
        <f t="shared" si="10"/>
        <v>1</v>
      </c>
      <c r="K187" s="379">
        <f t="shared" si="13"/>
        <v>15</v>
      </c>
      <c r="L187" s="643">
        <f>IFERROR(IF(B187="funkcna poziadavka",VLOOKUP(G187,MODULY_CBA!$B$3:$E$23,4,0)*H187/SUMIFS($H$3:$H$199,$G$3:$G$199,G187,$B$3:$B$199,B187),),)</f>
        <v>0.47540983606557374</v>
      </c>
      <c r="M187" s="379">
        <f>IFERROR(IF(B187="Funkcna poziadavka",VLOOKUP(G187,MODULY_CBA!$B$3:$E$23,3,0),),)</f>
        <v>0.93499999999999994</v>
      </c>
      <c r="N187" s="379">
        <f>IFERROR(IF(B187="funkcna poziadavka",VLOOKUP(G187,MODULY_CBA!$B$3:$E$23,2,0),),)</f>
        <v>1.18</v>
      </c>
      <c r="O187" s="378">
        <f t="shared" si="14"/>
        <v>17.074019672131147</v>
      </c>
      <c r="P187" s="377">
        <f>IFERROR(O187*VLOOKUP(G187,MODULY_CBA!$B$3:$F$23,5,0),)</f>
        <v>512.22059016393439</v>
      </c>
      <c r="Q187" s="478" t="str">
        <f>IFERROR(VLOOKUP(G187,MODULY_CBA!$B$3:$I$23,6,0),"")</f>
        <v>Inkrement 3</v>
      </c>
      <c r="R187" s="382"/>
      <c r="S187" s="382"/>
      <c r="T187" s="382"/>
      <c r="U187" s="382"/>
      <c r="V187" s="382"/>
      <c r="W187" s="382"/>
      <c r="X187" s="382"/>
      <c r="Y187" s="382"/>
      <c r="Z187" s="382"/>
      <c r="AA187" s="382"/>
      <c r="AB187" s="382"/>
      <c r="AC187" s="382"/>
      <c r="AD187" s="382"/>
      <c r="AE187" s="382"/>
      <c r="AF187" s="374"/>
    </row>
    <row r="188" spans="1:32">
      <c r="A188" s="401">
        <v>186</v>
      </c>
      <c r="B188" s="401" t="s">
        <v>475</v>
      </c>
      <c r="C188" s="530" t="s">
        <v>613</v>
      </c>
      <c r="D188" s="530" t="s">
        <v>663</v>
      </c>
      <c r="E188" s="530"/>
      <c r="F188" s="389" t="s">
        <v>8</v>
      </c>
      <c r="G188" s="380" t="s">
        <v>262</v>
      </c>
      <c r="H188" s="379">
        <v>1</v>
      </c>
      <c r="I188" s="379">
        <v>15</v>
      </c>
      <c r="J188" s="379">
        <f t="shared" si="10"/>
        <v>1</v>
      </c>
      <c r="K188" s="379">
        <f t="shared" si="13"/>
        <v>15</v>
      </c>
      <c r="L188" s="643">
        <f>IFERROR(IF(B188="funkcna poziadavka",VLOOKUP(G188,MODULY_CBA!$B$3:$E$23,4,0)*H188/SUMIFS($H$3:$H$199,$G$3:$G$199,G188,$B$3:$B$199,B188),),)</f>
        <v>0.47540983606557374</v>
      </c>
      <c r="M188" s="379">
        <f>IFERROR(IF(B188="Funkcna poziadavka",VLOOKUP(G188,MODULY_CBA!$B$3:$E$23,3,0),),)</f>
        <v>0.93499999999999994</v>
      </c>
      <c r="N188" s="379">
        <f>IFERROR(IF(B188="funkcna poziadavka",VLOOKUP(G188,MODULY_CBA!$B$3:$E$23,2,0),),)</f>
        <v>1.18</v>
      </c>
      <c r="O188" s="378">
        <f t="shared" si="14"/>
        <v>17.074019672131147</v>
      </c>
      <c r="P188" s="377">
        <f>IFERROR(O188*VLOOKUP(G188,MODULY_CBA!$B$3:$F$23,5,0),)</f>
        <v>512.22059016393439</v>
      </c>
      <c r="Q188" s="478" t="str">
        <f>IFERROR(VLOOKUP(G188,MODULY_CBA!$B$3:$I$23,6,0),"")</f>
        <v>Inkrement 3</v>
      </c>
      <c r="R188" s="382"/>
      <c r="S188" s="382"/>
      <c r="T188" s="382"/>
      <c r="U188" s="382"/>
      <c r="V188" s="382"/>
      <c r="W188" s="382"/>
      <c r="X188" s="382"/>
      <c r="Y188" s="382"/>
      <c r="Z188" s="382"/>
      <c r="AA188" s="382"/>
      <c r="AB188" s="382"/>
      <c r="AC188" s="382"/>
      <c r="AD188" s="382"/>
      <c r="AE188" s="382"/>
      <c r="AF188" s="374"/>
    </row>
    <row r="189" spans="1:32">
      <c r="A189" s="401">
        <v>187</v>
      </c>
      <c r="B189" s="401" t="s">
        <v>475</v>
      </c>
      <c r="C189" s="530" t="s">
        <v>613</v>
      </c>
      <c r="D189" s="530" t="s">
        <v>664</v>
      </c>
      <c r="E189" s="530"/>
      <c r="F189" s="389" t="s">
        <v>8</v>
      </c>
      <c r="G189" s="380" t="s">
        <v>262</v>
      </c>
      <c r="H189" s="379">
        <v>1</v>
      </c>
      <c r="I189" s="379">
        <v>15</v>
      </c>
      <c r="J189" s="379">
        <f t="shared" si="10"/>
        <v>1</v>
      </c>
      <c r="K189" s="379">
        <f t="shared" si="13"/>
        <v>15</v>
      </c>
      <c r="L189" s="643">
        <f>IFERROR(IF(B189="funkcna poziadavka",VLOOKUP(G189,MODULY_CBA!$B$3:$E$23,4,0)*H189/SUMIFS($H$3:$H$199,$G$3:$G$199,G189,$B$3:$B$199,B189),),)</f>
        <v>0.47540983606557374</v>
      </c>
      <c r="M189" s="379">
        <f>IFERROR(IF(B189="Funkcna poziadavka",VLOOKUP(G189,MODULY_CBA!$B$3:$E$23,3,0),),)</f>
        <v>0.93499999999999994</v>
      </c>
      <c r="N189" s="379">
        <f>IFERROR(IF(B189="funkcna poziadavka",VLOOKUP(G189,MODULY_CBA!$B$3:$E$23,2,0),),)</f>
        <v>1.18</v>
      </c>
      <c r="O189" s="378">
        <f t="shared" si="14"/>
        <v>17.074019672131147</v>
      </c>
      <c r="P189" s="377">
        <f>IFERROR(O189*VLOOKUP(G189,MODULY_CBA!$B$3:$F$23,5,0),)</f>
        <v>512.22059016393439</v>
      </c>
      <c r="Q189" s="478" t="str">
        <f>IFERROR(VLOOKUP(G189,MODULY_CBA!$B$3:$I$23,6,0),"")</f>
        <v>Inkrement 3</v>
      </c>
      <c r="R189" s="382"/>
      <c r="S189" s="382"/>
      <c r="T189" s="382"/>
      <c r="U189" s="382"/>
      <c r="V189" s="382"/>
      <c r="W189" s="382"/>
      <c r="X189" s="382"/>
      <c r="Y189" s="382"/>
      <c r="Z189" s="382"/>
      <c r="AA189" s="382"/>
      <c r="AB189" s="382"/>
      <c r="AC189" s="382"/>
      <c r="AD189" s="382"/>
      <c r="AE189" s="382"/>
      <c r="AF189" s="374"/>
    </row>
    <row r="190" spans="1:32">
      <c r="A190" s="401">
        <v>188</v>
      </c>
      <c r="B190" s="401" t="s">
        <v>475</v>
      </c>
      <c r="C190" s="530" t="s">
        <v>613</v>
      </c>
      <c r="D190" s="530" t="s">
        <v>665</v>
      </c>
      <c r="E190" s="530"/>
      <c r="F190" s="389" t="s">
        <v>8</v>
      </c>
      <c r="G190" s="380" t="s">
        <v>262</v>
      </c>
      <c r="H190" s="379">
        <v>1</v>
      </c>
      <c r="I190" s="379">
        <v>15</v>
      </c>
      <c r="J190" s="379">
        <f t="shared" si="10"/>
        <v>1</v>
      </c>
      <c r="K190" s="379">
        <f t="shared" si="13"/>
        <v>15</v>
      </c>
      <c r="L190" s="643">
        <f>IFERROR(IF(B190="funkcna poziadavka",VLOOKUP(G190,MODULY_CBA!$B$3:$E$23,4,0)*H190/SUMIFS($H$3:$H$199,$G$3:$G$199,G190,$B$3:$B$199,B190),),)</f>
        <v>0.47540983606557374</v>
      </c>
      <c r="M190" s="379">
        <f>IFERROR(IF(B190="Funkcna poziadavka",VLOOKUP(G190,MODULY_CBA!$B$3:$E$23,3,0),),)</f>
        <v>0.93499999999999994</v>
      </c>
      <c r="N190" s="379">
        <f>IFERROR(IF(B190="funkcna poziadavka",VLOOKUP(G190,MODULY_CBA!$B$3:$E$23,2,0),),)</f>
        <v>1.18</v>
      </c>
      <c r="O190" s="378">
        <f t="shared" si="14"/>
        <v>17.074019672131147</v>
      </c>
      <c r="P190" s="377">
        <f>IFERROR(O190*VLOOKUP(G190,MODULY_CBA!$B$3:$F$23,5,0),)</f>
        <v>512.22059016393439</v>
      </c>
      <c r="Q190" s="478" t="str">
        <f>IFERROR(VLOOKUP(G190,MODULY_CBA!$B$3:$I$23,6,0),"")</f>
        <v>Inkrement 3</v>
      </c>
      <c r="R190" s="382"/>
      <c r="S190" s="382"/>
      <c r="T190" s="382"/>
      <c r="U190" s="382"/>
      <c r="V190" s="382"/>
      <c r="W190" s="382"/>
      <c r="X190" s="382"/>
      <c r="Y190" s="382"/>
      <c r="Z190" s="382"/>
      <c r="AA190" s="382"/>
      <c r="AB190" s="382"/>
      <c r="AC190" s="382"/>
      <c r="AD190" s="382"/>
      <c r="AE190" s="382"/>
      <c r="AF190" s="374"/>
    </row>
    <row r="191" spans="1:32">
      <c r="A191" s="401">
        <v>189</v>
      </c>
      <c r="B191" s="401" t="s">
        <v>475</v>
      </c>
      <c r="C191" s="530" t="s">
        <v>613</v>
      </c>
      <c r="D191" s="530" t="s">
        <v>666</v>
      </c>
      <c r="E191" s="530"/>
      <c r="F191" s="389" t="s">
        <v>8</v>
      </c>
      <c r="G191" s="380" t="s">
        <v>262</v>
      </c>
      <c r="H191" s="379">
        <v>1</v>
      </c>
      <c r="I191" s="379">
        <v>15</v>
      </c>
      <c r="J191" s="379">
        <f t="shared" si="10"/>
        <v>1</v>
      </c>
      <c r="K191" s="379">
        <f t="shared" si="13"/>
        <v>15</v>
      </c>
      <c r="L191" s="643">
        <f>IFERROR(IF(B191="funkcna poziadavka",VLOOKUP(G191,MODULY_CBA!$B$3:$E$23,4,0)*H191/SUMIFS($H$3:$H$199,$G$3:$G$199,G191,$B$3:$B$199,B191),),)</f>
        <v>0.47540983606557374</v>
      </c>
      <c r="M191" s="379">
        <f>IFERROR(IF(B191="Funkcna poziadavka",VLOOKUP(G191,MODULY_CBA!$B$3:$E$23,3,0),),)</f>
        <v>0.93499999999999994</v>
      </c>
      <c r="N191" s="379">
        <f>IFERROR(IF(B191="funkcna poziadavka",VLOOKUP(G191,MODULY_CBA!$B$3:$E$23,2,0),),)</f>
        <v>1.18</v>
      </c>
      <c r="O191" s="378">
        <f t="shared" si="14"/>
        <v>17.074019672131147</v>
      </c>
      <c r="P191" s="377">
        <f>IFERROR(O191*VLOOKUP(G191,MODULY_CBA!$B$3:$F$23,5,0),)</f>
        <v>512.22059016393439</v>
      </c>
      <c r="Q191" s="478" t="str">
        <f>IFERROR(VLOOKUP(G191,MODULY_CBA!$B$3:$I$23,6,0),"")</f>
        <v>Inkrement 3</v>
      </c>
      <c r="R191" s="382"/>
      <c r="S191" s="382"/>
      <c r="T191" s="382"/>
      <c r="U191" s="382"/>
      <c r="V191" s="382"/>
      <c r="W191" s="382"/>
      <c r="X191" s="382"/>
      <c r="Y191" s="382"/>
      <c r="Z191" s="382"/>
      <c r="AA191" s="382"/>
      <c r="AB191" s="382"/>
      <c r="AC191" s="382"/>
      <c r="AD191" s="382"/>
      <c r="AE191" s="382"/>
      <c r="AF191" s="374"/>
    </row>
    <row r="192" spans="1:32">
      <c r="A192" s="401">
        <v>190</v>
      </c>
      <c r="B192" s="401" t="s">
        <v>475</v>
      </c>
      <c r="C192" s="530" t="s">
        <v>613</v>
      </c>
      <c r="D192" s="530" t="s">
        <v>667</v>
      </c>
      <c r="E192" s="530"/>
      <c r="F192" s="389" t="s">
        <v>8</v>
      </c>
      <c r="G192" s="380" t="s">
        <v>262</v>
      </c>
      <c r="H192" s="379">
        <v>1</v>
      </c>
      <c r="I192" s="379">
        <v>15</v>
      </c>
      <c r="J192" s="379">
        <f t="shared" si="10"/>
        <v>1</v>
      </c>
      <c r="K192" s="379">
        <f t="shared" si="13"/>
        <v>15</v>
      </c>
      <c r="L192" s="643">
        <f>IFERROR(IF(B192="funkcna poziadavka",VLOOKUP(G192,MODULY_CBA!$B$3:$E$23,4,0)*H192/SUMIFS($H$3:$H$199,$G$3:$G$199,G192,$B$3:$B$199,B192),),)</f>
        <v>0.47540983606557374</v>
      </c>
      <c r="M192" s="379">
        <f>IFERROR(IF(B192="Funkcna poziadavka",VLOOKUP(G192,MODULY_CBA!$B$3:$E$23,3,0),),)</f>
        <v>0.93499999999999994</v>
      </c>
      <c r="N192" s="379">
        <f>IFERROR(IF(B192="funkcna poziadavka",VLOOKUP(G192,MODULY_CBA!$B$3:$E$23,2,0),),)</f>
        <v>1.18</v>
      </c>
      <c r="O192" s="378">
        <f t="shared" si="14"/>
        <v>17.074019672131147</v>
      </c>
      <c r="P192" s="377">
        <f>IFERROR(O192*VLOOKUP(G192,MODULY_CBA!$B$3:$F$23,5,0),)</f>
        <v>512.22059016393439</v>
      </c>
      <c r="Q192" s="478" t="str">
        <f>IFERROR(VLOOKUP(G192,MODULY_CBA!$B$3:$I$23,6,0),"")</f>
        <v>Inkrement 3</v>
      </c>
      <c r="R192" s="382"/>
      <c r="S192" s="382"/>
      <c r="T192" s="382"/>
      <c r="U192" s="382"/>
      <c r="V192" s="382"/>
      <c r="W192" s="382"/>
      <c r="X192" s="382"/>
      <c r="Y192" s="382"/>
      <c r="Z192" s="382"/>
      <c r="AA192" s="382"/>
      <c r="AB192" s="382"/>
      <c r="AC192" s="382"/>
      <c r="AD192" s="382"/>
      <c r="AE192" s="382"/>
      <c r="AF192" s="374"/>
    </row>
    <row r="193" spans="1:32">
      <c r="A193" s="401">
        <v>191</v>
      </c>
      <c r="B193" s="401" t="s">
        <v>475</v>
      </c>
      <c r="C193" s="530" t="s">
        <v>613</v>
      </c>
      <c r="D193" s="530" t="s">
        <v>668</v>
      </c>
      <c r="E193" s="530"/>
      <c r="F193" s="389" t="s">
        <v>8</v>
      </c>
      <c r="G193" s="380" t="s">
        <v>262</v>
      </c>
      <c r="H193" s="379">
        <v>1</v>
      </c>
      <c r="I193" s="379">
        <v>15</v>
      </c>
      <c r="J193" s="379">
        <f t="shared" si="10"/>
        <v>1</v>
      </c>
      <c r="K193" s="379">
        <f t="shared" si="13"/>
        <v>15</v>
      </c>
      <c r="L193" s="643">
        <f>IFERROR(IF(B193="funkcna poziadavka",VLOOKUP(G193,MODULY_CBA!$B$3:$E$23,4,0)*H193/SUMIFS($H$3:$H$199,$G$3:$G$199,G193,$B$3:$B$199,B193),),)</f>
        <v>0.47540983606557374</v>
      </c>
      <c r="M193" s="379">
        <f>IFERROR(IF(B193="Funkcna poziadavka",VLOOKUP(G193,MODULY_CBA!$B$3:$E$23,3,0),),)</f>
        <v>0.93499999999999994</v>
      </c>
      <c r="N193" s="379">
        <f>IFERROR(IF(B193="funkcna poziadavka",VLOOKUP(G193,MODULY_CBA!$B$3:$E$23,2,0),),)</f>
        <v>1.18</v>
      </c>
      <c r="O193" s="378">
        <f t="shared" si="14"/>
        <v>17.074019672131147</v>
      </c>
      <c r="P193" s="377">
        <f>IFERROR(O193*VLOOKUP(G193,MODULY_CBA!$B$3:$F$23,5,0),)</f>
        <v>512.22059016393439</v>
      </c>
      <c r="Q193" s="478" t="str">
        <f>IFERROR(VLOOKUP(G193,MODULY_CBA!$B$3:$I$23,6,0),"")</f>
        <v>Inkrement 3</v>
      </c>
      <c r="R193" s="382"/>
      <c r="S193" s="382"/>
      <c r="T193" s="382"/>
      <c r="U193" s="382"/>
      <c r="V193" s="382"/>
      <c r="W193" s="382"/>
      <c r="X193" s="382"/>
      <c r="Y193" s="382"/>
      <c r="Z193" s="382"/>
      <c r="AA193" s="382"/>
      <c r="AB193" s="382"/>
      <c r="AC193" s="382"/>
      <c r="AD193" s="382"/>
      <c r="AE193" s="382"/>
      <c r="AF193" s="374"/>
    </row>
    <row r="194" spans="1:32">
      <c r="A194" s="401">
        <v>192</v>
      </c>
      <c r="B194" s="401" t="s">
        <v>475</v>
      </c>
      <c r="C194" s="530" t="s">
        <v>613</v>
      </c>
      <c r="D194" s="530" t="s">
        <v>669</v>
      </c>
      <c r="E194" s="530"/>
      <c r="F194" s="389" t="s">
        <v>8</v>
      </c>
      <c r="G194" s="380" t="s">
        <v>262</v>
      </c>
      <c r="H194" s="379">
        <v>1</v>
      </c>
      <c r="I194" s="379">
        <v>15</v>
      </c>
      <c r="J194" s="379">
        <f t="shared" si="10"/>
        <v>1</v>
      </c>
      <c r="K194" s="379">
        <f t="shared" si="13"/>
        <v>15</v>
      </c>
      <c r="L194" s="643">
        <f>IFERROR(IF(B194="funkcna poziadavka",VLOOKUP(G194,MODULY_CBA!$B$3:$E$23,4,0)*H194/SUMIFS($H$3:$H$199,$G$3:$G$199,G194,$B$3:$B$199,B194),),)</f>
        <v>0.47540983606557374</v>
      </c>
      <c r="M194" s="379">
        <f>IFERROR(IF(B194="Funkcna poziadavka",VLOOKUP(G194,MODULY_CBA!$B$3:$E$23,3,0),),)</f>
        <v>0.93499999999999994</v>
      </c>
      <c r="N194" s="379">
        <f>IFERROR(IF(B194="funkcna poziadavka",VLOOKUP(G194,MODULY_CBA!$B$3:$E$23,2,0),),)</f>
        <v>1.18</v>
      </c>
      <c r="O194" s="378">
        <f t="shared" si="14"/>
        <v>17.074019672131147</v>
      </c>
      <c r="P194" s="377">
        <f>IFERROR(O194*VLOOKUP(G194,MODULY_CBA!$B$3:$F$23,5,0),)</f>
        <v>512.22059016393439</v>
      </c>
      <c r="Q194" s="478" t="str">
        <f>IFERROR(VLOOKUP(G194,MODULY_CBA!$B$3:$I$23,6,0),"")</f>
        <v>Inkrement 3</v>
      </c>
      <c r="R194" s="382"/>
      <c r="S194" s="382"/>
      <c r="T194" s="382"/>
      <c r="U194" s="382"/>
      <c r="V194" s="382"/>
      <c r="W194" s="382"/>
      <c r="X194" s="382"/>
      <c r="Y194" s="382"/>
      <c r="Z194" s="382"/>
      <c r="AA194" s="382"/>
      <c r="AB194" s="382"/>
      <c r="AC194" s="382"/>
      <c r="AD194" s="382"/>
      <c r="AE194" s="382"/>
      <c r="AF194" s="374"/>
    </row>
    <row r="195" spans="1:32">
      <c r="A195" s="401">
        <v>193</v>
      </c>
      <c r="B195" s="401" t="s">
        <v>475</v>
      </c>
      <c r="C195" s="530" t="s">
        <v>613</v>
      </c>
      <c r="D195" s="530" t="s">
        <v>670</v>
      </c>
      <c r="E195" s="530"/>
      <c r="F195" s="389" t="s">
        <v>8</v>
      </c>
      <c r="G195" s="380" t="s">
        <v>262</v>
      </c>
      <c r="H195" s="379">
        <v>1</v>
      </c>
      <c r="I195" s="379">
        <v>15</v>
      </c>
      <c r="J195" s="379">
        <f t="shared" si="10"/>
        <v>1</v>
      </c>
      <c r="K195" s="379">
        <f t="shared" si="13"/>
        <v>15</v>
      </c>
      <c r="L195" s="643">
        <f>IFERROR(IF(B195="funkcna poziadavka",VLOOKUP(G195,MODULY_CBA!$B$3:$E$23,4,0)*H195/SUMIFS($H$3:$H$199,$G$3:$G$199,G195,$B$3:$B$199,B195),),)</f>
        <v>0.47540983606557374</v>
      </c>
      <c r="M195" s="379">
        <f>IFERROR(IF(B195="Funkcna poziadavka",VLOOKUP(G195,MODULY_CBA!$B$3:$E$23,3,0),),)</f>
        <v>0.93499999999999994</v>
      </c>
      <c r="N195" s="379">
        <f>IFERROR(IF(B195="funkcna poziadavka",VLOOKUP(G195,MODULY_CBA!$B$3:$E$23,2,0),),)</f>
        <v>1.18</v>
      </c>
      <c r="O195" s="378">
        <f t="shared" si="14"/>
        <v>17.074019672131147</v>
      </c>
      <c r="P195" s="377">
        <f>IFERROR(O195*VLOOKUP(G195,MODULY_CBA!$B$3:$F$23,5,0),)</f>
        <v>512.22059016393439</v>
      </c>
      <c r="Q195" s="478" t="str">
        <f>IFERROR(VLOOKUP(G195,MODULY_CBA!$B$3:$I$23,6,0),"")</f>
        <v>Inkrement 3</v>
      </c>
      <c r="R195" s="382"/>
      <c r="S195" s="382"/>
      <c r="T195" s="382"/>
      <c r="U195" s="382"/>
      <c r="V195" s="382"/>
      <c r="W195" s="382"/>
      <c r="X195" s="382"/>
      <c r="Y195" s="382"/>
      <c r="Z195" s="382"/>
      <c r="AA195" s="382"/>
      <c r="AB195" s="382"/>
      <c r="AC195" s="382"/>
      <c r="AD195" s="382"/>
      <c r="AE195" s="382"/>
      <c r="AF195" s="374"/>
    </row>
    <row r="196" spans="1:32">
      <c r="A196" s="401">
        <v>194</v>
      </c>
      <c r="B196" s="401" t="s">
        <v>475</v>
      </c>
      <c r="C196" s="530" t="s">
        <v>613</v>
      </c>
      <c r="D196" s="530" t="s">
        <v>671</v>
      </c>
      <c r="E196" s="530"/>
      <c r="F196" s="389" t="s">
        <v>8</v>
      </c>
      <c r="G196" s="380" t="s">
        <v>262</v>
      </c>
      <c r="H196" s="379">
        <v>1</v>
      </c>
      <c r="I196" s="379">
        <v>15</v>
      </c>
      <c r="J196" s="379">
        <f t="shared" ref="J196:J259" si="15">IF(ISNUMBER(H196),H196,)</f>
        <v>1</v>
      </c>
      <c r="K196" s="379">
        <f t="shared" si="13"/>
        <v>15</v>
      </c>
      <c r="L196" s="643">
        <f>IFERROR(IF(B196="funkcna poziadavka",VLOOKUP(G196,MODULY_CBA!$B$3:$E$23,4,0)*H196/SUMIFS($H$3:$H$199,$G$3:$G$199,G196,$B$3:$B$199,B196),),)</f>
        <v>0.47540983606557374</v>
      </c>
      <c r="M196" s="379">
        <f>IFERROR(IF(B196="Funkcna poziadavka",VLOOKUP(G196,MODULY_CBA!$B$3:$E$23,3,0),),)</f>
        <v>0.93499999999999994</v>
      </c>
      <c r="N196" s="379">
        <f>IFERROR(IF(B196="funkcna poziadavka",VLOOKUP(G196,MODULY_CBA!$B$3:$E$23,2,0),),)</f>
        <v>1.18</v>
      </c>
      <c r="O196" s="378">
        <f t="shared" si="14"/>
        <v>17.074019672131147</v>
      </c>
      <c r="P196" s="377">
        <f>IFERROR(O196*VLOOKUP(G196,MODULY_CBA!$B$3:$F$23,5,0),)</f>
        <v>512.22059016393439</v>
      </c>
      <c r="Q196" s="478" t="str">
        <f>IFERROR(VLOOKUP(G196,MODULY_CBA!$B$3:$I$23,6,0),"")</f>
        <v>Inkrement 3</v>
      </c>
      <c r="R196" s="382"/>
      <c r="S196" s="382"/>
      <c r="T196" s="382"/>
      <c r="U196" s="382"/>
      <c r="V196" s="382"/>
      <c r="W196" s="382"/>
      <c r="X196" s="382"/>
      <c r="Y196" s="382"/>
      <c r="Z196" s="382"/>
      <c r="AA196" s="382"/>
      <c r="AB196" s="382"/>
      <c r="AC196" s="382"/>
      <c r="AD196" s="382"/>
      <c r="AE196" s="382"/>
      <c r="AF196" s="374"/>
    </row>
    <row r="197" spans="1:32">
      <c r="A197" s="401">
        <v>195</v>
      </c>
      <c r="B197" s="401" t="s">
        <v>475</v>
      </c>
      <c r="C197" s="530" t="s">
        <v>613</v>
      </c>
      <c r="D197" s="530" t="s">
        <v>672</v>
      </c>
      <c r="E197" s="530"/>
      <c r="F197" s="389" t="s">
        <v>8</v>
      </c>
      <c r="G197" s="380" t="s">
        <v>262</v>
      </c>
      <c r="H197" s="379">
        <v>1</v>
      </c>
      <c r="I197" s="379">
        <v>15</v>
      </c>
      <c r="J197" s="379">
        <f t="shared" si="15"/>
        <v>1</v>
      </c>
      <c r="K197" s="379">
        <f t="shared" si="13"/>
        <v>15</v>
      </c>
      <c r="L197" s="643">
        <f>IFERROR(IF(B197="funkcna poziadavka",VLOOKUP(G197,MODULY_CBA!$B$3:$E$23,4,0)*H197/SUMIFS($H$3:$H$199,$G$3:$G$199,G197,$B$3:$B$199,B197),),)</f>
        <v>0.47540983606557374</v>
      </c>
      <c r="M197" s="379">
        <f>IFERROR(IF(B197="Funkcna poziadavka",VLOOKUP(G197,MODULY_CBA!$B$3:$E$23,3,0),),)</f>
        <v>0.93499999999999994</v>
      </c>
      <c r="N197" s="379">
        <f>IFERROR(IF(B197="funkcna poziadavka",VLOOKUP(G197,MODULY_CBA!$B$3:$E$23,2,0),),)</f>
        <v>1.18</v>
      </c>
      <c r="O197" s="378">
        <f t="shared" si="14"/>
        <v>17.074019672131147</v>
      </c>
      <c r="P197" s="377">
        <f>IFERROR(O197*VLOOKUP(G197,MODULY_CBA!$B$3:$F$23,5,0),)</f>
        <v>512.22059016393439</v>
      </c>
      <c r="Q197" s="478" t="str">
        <f>IFERROR(VLOOKUP(G197,MODULY_CBA!$B$3:$I$23,6,0),"")</f>
        <v>Inkrement 3</v>
      </c>
      <c r="R197" s="382"/>
      <c r="S197" s="382"/>
      <c r="T197" s="382"/>
      <c r="U197" s="382"/>
      <c r="V197" s="382"/>
      <c r="W197" s="382"/>
      <c r="X197" s="382"/>
      <c r="Y197" s="382"/>
      <c r="Z197" s="382"/>
      <c r="AA197" s="382"/>
      <c r="AB197" s="382"/>
      <c r="AC197" s="382"/>
      <c r="AD197" s="382"/>
      <c r="AE197" s="382"/>
      <c r="AF197" s="374"/>
    </row>
    <row r="198" spans="1:32">
      <c r="A198" s="401">
        <v>196</v>
      </c>
      <c r="B198" s="401" t="s">
        <v>475</v>
      </c>
      <c r="C198" s="530" t="s">
        <v>613</v>
      </c>
      <c r="D198" s="530" t="s">
        <v>673</v>
      </c>
      <c r="E198" s="530"/>
      <c r="F198" s="389" t="s">
        <v>8</v>
      </c>
      <c r="G198" s="380" t="s">
        <v>262</v>
      </c>
      <c r="H198" s="379">
        <v>1</v>
      </c>
      <c r="I198" s="379">
        <v>15</v>
      </c>
      <c r="J198" s="379">
        <f t="shared" si="15"/>
        <v>1</v>
      </c>
      <c r="K198" s="379">
        <f t="shared" si="13"/>
        <v>15</v>
      </c>
      <c r="L198" s="643">
        <f>IFERROR(IF(B198="funkcna poziadavka",VLOOKUP(G198,MODULY_CBA!$B$3:$E$23,4,0)*H198/SUMIFS($H$3:$H$199,$G$3:$G$199,G198,$B$3:$B$199,B198),),)</f>
        <v>0.47540983606557374</v>
      </c>
      <c r="M198" s="379">
        <f>IFERROR(IF(B198="Funkcna poziadavka",VLOOKUP(G198,MODULY_CBA!$B$3:$E$23,3,0),),)</f>
        <v>0.93499999999999994</v>
      </c>
      <c r="N198" s="379">
        <f>IFERROR(IF(B198="funkcna poziadavka",VLOOKUP(G198,MODULY_CBA!$B$3:$E$23,2,0),),)</f>
        <v>1.18</v>
      </c>
      <c r="O198" s="378">
        <f t="shared" si="14"/>
        <v>17.074019672131147</v>
      </c>
      <c r="P198" s="377">
        <f>IFERROR(O198*VLOOKUP(G198,MODULY_CBA!$B$3:$F$23,5,0),)</f>
        <v>512.22059016393439</v>
      </c>
      <c r="Q198" s="478" t="str">
        <f>IFERROR(VLOOKUP(G198,MODULY_CBA!$B$3:$I$23,6,0),"")</f>
        <v>Inkrement 3</v>
      </c>
      <c r="R198" s="382"/>
      <c r="S198" s="382"/>
      <c r="T198" s="382"/>
      <c r="U198" s="382"/>
      <c r="V198" s="382"/>
      <c r="W198" s="382"/>
      <c r="X198" s="382"/>
      <c r="Y198" s="382"/>
      <c r="Z198" s="382"/>
      <c r="AA198" s="382"/>
      <c r="AB198" s="382"/>
      <c r="AC198" s="382"/>
      <c r="AD198" s="382"/>
      <c r="AE198" s="382"/>
      <c r="AF198" s="374"/>
    </row>
    <row r="199" spans="1:32">
      <c r="A199" s="401">
        <v>197</v>
      </c>
      <c r="B199" s="401" t="s">
        <v>475</v>
      </c>
      <c r="C199" s="530" t="s">
        <v>613</v>
      </c>
      <c r="D199" s="530" t="s">
        <v>674</v>
      </c>
      <c r="E199" s="530"/>
      <c r="F199" s="389" t="s">
        <v>8</v>
      </c>
      <c r="G199" s="380" t="s">
        <v>262</v>
      </c>
      <c r="H199" s="379">
        <v>1</v>
      </c>
      <c r="I199" s="379">
        <v>15</v>
      </c>
      <c r="J199" s="379">
        <f t="shared" si="15"/>
        <v>1</v>
      </c>
      <c r="K199" s="379">
        <f t="shared" si="13"/>
        <v>15</v>
      </c>
      <c r="L199" s="643">
        <f>IFERROR(IF(B199="funkcna poziadavka",VLOOKUP(G199,MODULY_CBA!$B$3:$E$23,4,0)*H199/SUMIFS($H$3:$H$199,$G$3:$G$199,G199,$B$3:$B$199,B199),),)</f>
        <v>0.47540983606557374</v>
      </c>
      <c r="M199" s="379">
        <f>IFERROR(IF(B199="Funkcna poziadavka",VLOOKUP(G199,MODULY_CBA!$B$3:$E$23,3,0),),)</f>
        <v>0.93499999999999994</v>
      </c>
      <c r="N199" s="379">
        <f>IFERROR(IF(B199="funkcna poziadavka",VLOOKUP(G199,MODULY_CBA!$B$3:$E$23,2,0),),)</f>
        <v>1.18</v>
      </c>
      <c r="O199" s="378">
        <f t="shared" si="14"/>
        <v>17.074019672131147</v>
      </c>
      <c r="P199" s="377">
        <f>IFERROR(O199*VLOOKUP(G199,MODULY_CBA!$B$3:$F$23,5,0),)</f>
        <v>512.22059016393439</v>
      </c>
      <c r="Q199" s="478" t="str">
        <f>IFERROR(VLOOKUP(G199,MODULY_CBA!$B$3:$I$23,6,0),"")</f>
        <v>Inkrement 3</v>
      </c>
      <c r="R199" s="382"/>
      <c r="S199" s="382"/>
      <c r="T199" s="382"/>
      <c r="U199" s="382"/>
      <c r="V199" s="382"/>
      <c r="W199" s="382"/>
      <c r="X199" s="382"/>
      <c r="Y199" s="382"/>
      <c r="Z199" s="382"/>
      <c r="AA199" s="382"/>
      <c r="AB199" s="382"/>
      <c r="AC199" s="382"/>
      <c r="AD199" s="382"/>
      <c r="AE199" s="382"/>
      <c r="AF199" s="374"/>
    </row>
    <row r="200" spans="1:32">
      <c r="A200" s="401">
        <v>198</v>
      </c>
      <c r="B200" s="401" t="s">
        <v>475</v>
      </c>
      <c r="C200" s="530" t="s">
        <v>613</v>
      </c>
      <c r="D200" s="530" t="s">
        <v>675</v>
      </c>
      <c r="E200" s="530"/>
      <c r="F200" s="389" t="s">
        <v>8</v>
      </c>
      <c r="G200" s="380" t="s">
        <v>262</v>
      </c>
      <c r="H200" s="379">
        <v>1</v>
      </c>
      <c r="I200" s="379">
        <v>15</v>
      </c>
      <c r="J200" s="379">
        <f t="shared" si="15"/>
        <v>1</v>
      </c>
      <c r="K200" s="379">
        <f t="shared" si="13"/>
        <v>15</v>
      </c>
      <c r="L200" s="643">
        <f>IFERROR(IF(B200="funkcna poziadavka",VLOOKUP(G200,MODULY_CBA!$B$3:$E$23,4,0)*H200/SUMIFS($H$3:$H$199,$G$3:$G$199,G200,$B$3:$B$199,B200),),)</f>
        <v>0.47540983606557374</v>
      </c>
      <c r="M200" s="379">
        <f>IFERROR(IF(B200="Funkcna poziadavka",VLOOKUP(G200,MODULY_CBA!$B$3:$E$23,3,0),),)</f>
        <v>0.93499999999999994</v>
      </c>
      <c r="N200" s="379">
        <f>IFERROR(IF(B200="funkcna poziadavka",VLOOKUP(G200,MODULY_CBA!$B$3:$E$23,2,0),),)</f>
        <v>1.18</v>
      </c>
      <c r="O200" s="378">
        <f t="shared" si="14"/>
        <v>17.074019672131147</v>
      </c>
      <c r="P200" s="377">
        <f>IFERROR(O200*VLOOKUP(G200,MODULY_CBA!$B$3:$F$23,5,0),)</f>
        <v>512.22059016393439</v>
      </c>
      <c r="Q200" s="478" t="str">
        <f>IFERROR(VLOOKUP(G200,MODULY_CBA!$B$3:$I$23,6,0),"")</f>
        <v>Inkrement 3</v>
      </c>
      <c r="R200" s="382"/>
      <c r="S200" s="382"/>
      <c r="T200" s="382"/>
      <c r="U200" s="382"/>
      <c r="V200" s="382"/>
      <c r="W200" s="382"/>
      <c r="X200" s="382"/>
      <c r="Y200" s="382"/>
      <c r="Z200" s="382"/>
      <c r="AA200" s="382"/>
      <c r="AB200" s="382"/>
      <c r="AC200" s="382"/>
      <c r="AD200" s="382"/>
      <c r="AE200" s="382"/>
      <c r="AF200" s="374"/>
    </row>
    <row r="201" spans="1:32">
      <c r="A201" s="401">
        <v>199</v>
      </c>
      <c r="B201" s="401" t="s">
        <v>475</v>
      </c>
      <c r="C201" s="530" t="s">
        <v>613</v>
      </c>
      <c r="D201" s="530" t="s">
        <v>676</v>
      </c>
      <c r="E201" s="530"/>
      <c r="F201" s="389" t="s">
        <v>8</v>
      </c>
      <c r="G201" s="380" t="s">
        <v>262</v>
      </c>
      <c r="H201" s="379">
        <v>1</v>
      </c>
      <c r="I201" s="379">
        <v>15</v>
      </c>
      <c r="J201" s="379">
        <f t="shared" si="15"/>
        <v>1</v>
      </c>
      <c r="K201" s="379">
        <f t="shared" si="13"/>
        <v>15</v>
      </c>
      <c r="L201" s="643">
        <f>IFERROR(IF(B201="funkcna poziadavka",VLOOKUP(G201,MODULY_CBA!$B$3:$E$23,4,0)*H201/SUMIFS($H$3:$H$199,$G$3:$G$199,G201,$B$3:$B$199,B201),),)</f>
        <v>0.47540983606557374</v>
      </c>
      <c r="M201" s="379">
        <f>IFERROR(IF(B201="Funkcna poziadavka",VLOOKUP(G201,MODULY_CBA!$B$3:$E$23,3,0),),)</f>
        <v>0.93499999999999994</v>
      </c>
      <c r="N201" s="379">
        <f>IFERROR(IF(B201="funkcna poziadavka",VLOOKUP(G201,MODULY_CBA!$B$3:$E$23,2,0),),)</f>
        <v>1.18</v>
      </c>
      <c r="O201" s="378">
        <f t="shared" si="14"/>
        <v>17.074019672131147</v>
      </c>
      <c r="P201" s="377">
        <f>IFERROR(O201*VLOOKUP(G201,MODULY_CBA!$B$3:$F$23,5,0),)</f>
        <v>512.22059016393439</v>
      </c>
      <c r="Q201" s="478" t="str">
        <f>IFERROR(VLOOKUP(G201,MODULY_CBA!$B$3:$I$23,6,0),"")</f>
        <v>Inkrement 3</v>
      </c>
      <c r="R201" s="382"/>
      <c r="S201" s="382"/>
      <c r="T201" s="382"/>
      <c r="U201" s="382"/>
      <c r="V201" s="382"/>
      <c r="W201" s="382"/>
      <c r="X201" s="382"/>
      <c r="Y201" s="382"/>
      <c r="Z201" s="382"/>
      <c r="AA201" s="382"/>
      <c r="AB201" s="382"/>
      <c r="AC201" s="382"/>
      <c r="AD201" s="382"/>
      <c r="AE201" s="382"/>
      <c r="AF201" s="374"/>
    </row>
    <row r="202" spans="1:32">
      <c r="A202" s="401">
        <v>200</v>
      </c>
      <c r="B202" s="401" t="s">
        <v>475</v>
      </c>
      <c r="C202" s="530" t="s">
        <v>613</v>
      </c>
      <c r="D202" s="530" t="s">
        <v>677</v>
      </c>
      <c r="E202" s="530"/>
      <c r="F202" s="389" t="s">
        <v>8</v>
      </c>
      <c r="G202" s="380" t="s">
        <v>262</v>
      </c>
      <c r="H202" s="379">
        <v>1</v>
      </c>
      <c r="I202" s="379">
        <v>15</v>
      </c>
      <c r="J202" s="379">
        <f t="shared" si="15"/>
        <v>1</v>
      </c>
      <c r="K202" s="379">
        <f t="shared" si="13"/>
        <v>15</v>
      </c>
      <c r="L202" s="643">
        <f>IFERROR(IF(B202="funkcna poziadavka",VLOOKUP(G202,MODULY_CBA!$B$3:$E$23,4,0)*H202/SUMIFS($H$3:$H$199,$G$3:$G$199,G202,$B$3:$B$199,B202),),)</f>
        <v>0.47540983606557374</v>
      </c>
      <c r="M202" s="379">
        <f>IFERROR(IF(B202="Funkcna poziadavka",VLOOKUP(G202,MODULY_CBA!$B$3:$E$23,3,0),),)</f>
        <v>0.93499999999999994</v>
      </c>
      <c r="N202" s="379">
        <f>IFERROR(IF(B202="funkcna poziadavka",VLOOKUP(G202,MODULY_CBA!$B$3:$E$23,2,0),),)</f>
        <v>1.18</v>
      </c>
      <c r="O202" s="378">
        <f t="shared" si="14"/>
        <v>17.074019672131147</v>
      </c>
      <c r="P202" s="377">
        <f>IFERROR(O202*VLOOKUP(G202,MODULY_CBA!$B$3:$F$23,5,0),)</f>
        <v>512.22059016393439</v>
      </c>
      <c r="Q202" s="478" t="str">
        <f>IFERROR(VLOOKUP(G202,MODULY_CBA!$B$3:$I$23,6,0),"")</f>
        <v>Inkrement 3</v>
      </c>
      <c r="R202" s="382"/>
      <c r="S202" s="382"/>
      <c r="T202" s="382"/>
      <c r="U202" s="382"/>
      <c r="V202" s="382"/>
      <c r="W202" s="382"/>
      <c r="X202" s="382"/>
      <c r="Y202" s="382"/>
      <c r="Z202" s="382"/>
      <c r="AA202" s="382"/>
      <c r="AB202" s="382"/>
      <c r="AC202" s="382"/>
      <c r="AD202" s="382"/>
      <c r="AE202" s="382"/>
      <c r="AF202" s="374"/>
    </row>
    <row r="203" spans="1:32">
      <c r="A203" s="401">
        <v>201</v>
      </c>
      <c r="B203" s="401" t="s">
        <v>475</v>
      </c>
      <c r="C203" s="530" t="s">
        <v>613</v>
      </c>
      <c r="D203" s="530" t="s">
        <v>678</v>
      </c>
      <c r="E203" s="530"/>
      <c r="F203" s="389" t="s">
        <v>8</v>
      </c>
      <c r="G203" s="380" t="s">
        <v>262</v>
      </c>
      <c r="H203" s="379">
        <v>1</v>
      </c>
      <c r="I203" s="379">
        <v>15</v>
      </c>
      <c r="J203" s="379">
        <f t="shared" si="15"/>
        <v>1</v>
      </c>
      <c r="K203" s="379">
        <f t="shared" si="13"/>
        <v>15</v>
      </c>
      <c r="L203" s="643">
        <f>IFERROR(IF(B203="funkcna poziadavka",VLOOKUP(G203,MODULY_CBA!$B$3:$E$23,4,0)*H203/SUMIFS($H$3:$H$199,$G$3:$G$199,G203,$B$3:$B$199,B203),),)</f>
        <v>0.47540983606557374</v>
      </c>
      <c r="M203" s="379">
        <f>IFERROR(IF(B203="Funkcna poziadavka",VLOOKUP(G203,MODULY_CBA!$B$3:$E$23,3,0),),)</f>
        <v>0.93499999999999994</v>
      </c>
      <c r="N203" s="379">
        <f>IFERROR(IF(B203="funkcna poziadavka",VLOOKUP(G203,MODULY_CBA!$B$3:$E$23,2,0),),)</f>
        <v>1.18</v>
      </c>
      <c r="O203" s="378">
        <f t="shared" si="14"/>
        <v>17.074019672131147</v>
      </c>
      <c r="P203" s="377">
        <f>IFERROR(O203*VLOOKUP(G203,MODULY_CBA!$B$3:$F$23,5,0),)</f>
        <v>512.22059016393439</v>
      </c>
      <c r="Q203" s="478" t="str">
        <f>IFERROR(VLOOKUP(G203,MODULY_CBA!$B$3:$I$23,6,0),"")</f>
        <v>Inkrement 3</v>
      </c>
      <c r="R203" s="382"/>
      <c r="S203" s="382"/>
      <c r="T203" s="382"/>
      <c r="U203" s="382"/>
      <c r="V203" s="382"/>
      <c r="W203" s="382"/>
      <c r="X203" s="382"/>
      <c r="Y203" s="382"/>
      <c r="Z203" s="382"/>
      <c r="AA203" s="382"/>
      <c r="AB203" s="382"/>
      <c r="AC203" s="382"/>
      <c r="AD203" s="382"/>
      <c r="AE203" s="382"/>
      <c r="AF203" s="374"/>
    </row>
    <row r="204" spans="1:32">
      <c r="A204" s="401">
        <v>202</v>
      </c>
      <c r="B204" s="401" t="s">
        <v>475</v>
      </c>
      <c r="C204" s="530" t="s">
        <v>613</v>
      </c>
      <c r="D204" s="530" t="s">
        <v>679</v>
      </c>
      <c r="E204" s="530"/>
      <c r="F204" s="389" t="s">
        <v>8</v>
      </c>
      <c r="G204" s="380" t="s">
        <v>262</v>
      </c>
      <c r="H204" s="379">
        <v>1</v>
      </c>
      <c r="I204" s="379">
        <v>15</v>
      </c>
      <c r="J204" s="379">
        <f t="shared" si="15"/>
        <v>1</v>
      </c>
      <c r="K204" s="379">
        <f t="shared" si="13"/>
        <v>15</v>
      </c>
      <c r="L204" s="643">
        <f>IFERROR(IF(B204="funkcna poziadavka",VLOOKUP(G204,MODULY_CBA!$B$3:$E$23,4,0)*H204/SUMIFS($H$3:$H$199,$G$3:$G$199,G204,$B$3:$B$199,B204),),)</f>
        <v>0.47540983606557374</v>
      </c>
      <c r="M204" s="379">
        <f>IFERROR(IF(B204="Funkcna poziadavka",VLOOKUP(G204,MODULY_CBA!$B$3:$E$23,3,0),),)</f>
        <v>0.93499999999999994</v>
      </c>
      <c r="N204" s="379">
        <f>IFERROR(IF(B204="funkcna poziadavka",VLOOKUP(G204,MODULY_CBA!$B$3:$E$23,2,0),),)</f>
        <v>1.18</v>
      </c>
      <c r="O204" s="378">
        <f t="shared" si="14"/>
        <v>17.074019672131147</v>
      </c>
      <c r="P204" s="377">
        <f>IFERROR(O204*VLOOKUP(G204,MODULY_CBA!$B$3:$F$23,5,0),)</f>
        <v>512.22059016393439</v>
      </c>
      <c r="Q204" s="478" t="str">
        <f>IFERROR(VLOOKUP(G204,MODULY_CBA!$B$3:$I$23,6,0),"")</f>
        <v>Inkrement 3</v>
      </c>
      <c r="R204" s="382"/>
      <c r="S204" s="382"/>
      <c r="T204" s="382"/>
      <c r="U204" s="382"/>
      <c r="V204" s="382"/>
      <c r="W204" s="382"/>
      <c r="X204" s="382"/>
      <c r="Y204" s="382"/>
      <c r="Z204" s="382"/>
      <c r="AA204" s="382"/>
      <c r="AB204" s="382"/>
      <c r="AC204" s="382"/>
      <c r="AD204" s="382"/>
      <c r="AE204" s="382"/>
      <c r="AF204" s="374"/>
    </row>
    <row r="205" spans="1:32">
      <c r="A205" s="401">
        <v>203</v>
      </c>
      <c r="B205" s="401" t="s">
        <v>475</v>
      </c>
      <c r="C205" s="530" t="s">
        <v>613</v>
      </c>
      <c r="D205" s="530" t="s">
        <v>680</v>
      </c>
      <c r="E205" s="530"/>
      <c r="F205" s="389" t="s">
        <v>8</v>
      </c>
      <c r="G205" s="380" t="s">
        <v>262</v>
      </c>
      <c r="H205" s="379">
        <v>1</v>
      </c>
      <c r="I205" s="379">
        <v>15</v>
      </c>
      <c r="J205" s="379">
        <f t="shared" si="15"/>
        <v>1</v>
      </c>
      <c r="K205" s="379">
        <f t="shared" si="13"/>
        <v>15</v>
      </c>
      <c r="L205" s="643">
        <f>IFERROR(IF(B205="funkcna poziadavka",VLOOKUP(G205,MODULY_CBA!$B$3:$E$23,4,0)*H205/SUMIFS($H$3:$H$199,$G$3:$G$199,G205,$B$3:$B$199,B205),),)</f>
        <v>0.47540983606557374</v>
      </c>
      <c r="M205" s="379">
        <f>IFERROR(IF(B205="Funkcna poziadavka",VLOOKUP(G205,MODULY_CBA!$B$3:$E$23,3,0),),)</f>
        <v>0.93499999999999994</v>
      </c>
      <c r="N205" s="379">
        <f>IFERROR(IF(B205="funkcna poziadavka",VLOOKUP(G205,MODULY_CBA!$B$3:$E$23,2,0),),)</f>
        <v>1.18</v>
      </c>
      <c r="O205" s="378">
        <f t="shared" si="14"/>
        <v>17.074019672131147</v>
      </c>
      <c r="P205" s="377">
        <f>IFERROR(O205*VLOOKUP(G205,MODULY_CBA!$B$3:$F$23,5,0),)</f>
        <v>512.22059016393439</v>
      </c>
      <c r="Q205" s="478" t="str">
        <f>IFERROR(VLOOKUP(G205,MODULY_CBA!$B$3:$I$23,6,0),"")</f>
        <v>Inkrement 3</v>
      </c>
      <c r="R205" s="382"/>
      <c r="S205" s="382"/>
      <c r="T205" s="382"/>
      <c r="U205" s="382"/>
      <c r="V205" s="382"/>
      <c r="W205" s="382"/>
      <c r="X205" s="382"/>
      <c r="Y205" s="382"/>
      <c r="Z205" s="382"/>
      <c r="AA205" s="382"/>
      <c r="AB205" s="382"/>
      <c r="AC205" s="382"/>
      <c r="AD205" s="382"/>
      <c r="AE205" s="382"/>
      <c r="AF205" s="374"/>
    </row>
    <row r="206" spans="1:32">
      <c r="A206" s="401">
        <v>204</v>
      </c>
      <c r="B206" s="401" t="s">
        <v>475</v>
      </c>
      <c r="C206" s="530" t="s">
        <v>613</v>
      </c>
      <c r="D206" s="530" t="s">
        <v>681</v>
      </c>
      <c r="E206" s="530"/>
      <c r="F206" s="389" t="s">
        <v>8</v>
      </c>
      <c r="G206" s="380" t="s">
        <v>262</v>
      </c>
      <c r="H206" s="379">
        <v>1</v>
      </c>
      <c r="I206" s="379">
        <v>15</v>
      </c>
      <c r="J206" s="379">
        <f t="shared" si="15"/>
        <v>1</v>
      </c>
      <c r="K206" s="379">
        <f t="shared" si="13"/>
        <v>15</v>
      </c>
      <c r="L206" s="643">
        <f>IFERROR(IF(B206="funkcna poziadavka",VLOOKUP(G206,MODULY_CBA!$B$3:$E$23,4,0)*H206/SUMIFS($H$3:$H$199,$G$3:$G$199,G206,$B$3:$B$199,B206),),)</f>
        <v>0.47540983606557374</v>
      </c>
      <c r="M206" s="379">
        <f>IFERROR(IF(B206="Funkcna poziadavka",VLOOKUP(G206,MODULY_CBA!$B$3:$E$23,3,0),),)</f>
        <v>0.93499999999999994</v>
      </c>
      <c r="N206" s="379">
        <f>IFERROR(IF(B206="funkcna poziadavka",VLOOKUP(G206,MODULY_CBA!$B$3:$E$23,2,0),),)</f>
        <v>1.18</v>
      </c>
      <c r="O206" s="378">
        <f t="shared" si="14"/>
        <v>17.074019672131147</v>
      </c>
      <c r="P206" s="377">
        <f>IFERROR(O206*VLOOKUP(G206,MODULY_CBA!$B$3:$F$23,5,0),)</f>
        <v>512.22059016393439</v>
      </c>
      <c r="Q206" s="478" t="str">
        <f>IFERROR(VLOOKUP(G206,MODULY_CBA!$B$3:$I$23,6,0),"")</f>
        <v>Inkrement 3</v>
      </c>
      <c r="R206" s="382"/>
      <c r="S206" s="382"/>
      <c r="T206" s="382"/>
      <c r="U206" s="382"/>
      <c r="V206" s="382"/>
      <c r="W206" s="382"/>
      <c r="X206" s="382"/>
      <c r="Y206" s="382"/>
      <c r="Z206" s="382"/>
      <c r="AA206" s="382"/>
      <c r="AB206" s="382"/>
      <c r="AC206" s="382"/>
      <c r="AD206" s="382"/>
      <c r="AE206" s="382"/>
      <c r="AF206" s="374"/>
    </row>
    <row r="207" spans="1:32">
      <c r="A207" s="401">
        <v>205</v>
      </c>
      <c r="B207" s="401" t="s">
        <v>475</v>
      </c>
      <c r="C207" s="530" t="s">
        <v>613</v>
      </c>
      <c r="D207" s="530" t="s">
        <v>682</v>
      </c>
      <c r="E207" s="530"/>
      <c r="F207" s="389" t="s">
        <v>8</v>
      </c>
      <c r="G207" s="380" t="s">
        <v>262</v>
      </c>
      <c r="H207" s="379">
        <v>1</v>
      </c>
      <c r="I207" s="379">
        <v>15</v>
      </c>
      <c r="J207" s="379">
        <f t="shared" si="15"/>
        <v>1</v>
      </c>
      <c r="K207" s="379">
        <f t="shared" si="13"/>
        <v>15</v>
      </c>
      <c r="L207" s="643">
        <f>IFERROR(IF(B207="funkcna poziadavka",VLOOKUP(G207,MODULY_CBA!$B$3:$E$23,4,0)*H207/SUMIFS($H$3:$H$199,$G$3:$G$199,G207,$B$3:$B$199,B207),),)</f>
        <v>0.47540983606557374</v>
      </c>
      <c r="M207" s="379">
        <f>IFERROR(IF(B207="Funkcna poziadavka",VLOOKUP(G207,MODULY_CBA!$B$3:$E$23,3,0),),)</f>
        <v>0.93499999999999994</v>
      </c>
      <c r="N207" s="379">
        <f>IFERROR(IF(B207="funkcna poziadavka",VLOOKUP(G207,MODULY_CBA!$B$3:$E$23,2,0),),)</f>
        <v>1.18</v>
      </c>
      <c r="O207" s="378">
        <f t="shared" si="14"/>
        <v>17.074019672131147</v>
      </c>
      <c r="P207" s="377">
        <f>IFERROR(O207*VLOOKUP(G207,MODULY_CBA!$B$3:$F$23,5,0),)</f>
        <v>512.22059016393439</v>
      </c>
      <c r="Q207" s="478" t="str">
        <f>IFERROR(VLOOKUP(G207,MODULY_CBA!$B$3:$I$23,6,0),"")</f>
        <v>Inkrement 3</v>
      </c>
      <c r="R207" s="382"/>
      <c r="S207" s="382"/>
      <c r="T207" s="382"/>
      <c r="U207" s="382"/>
      <c r="V207" s="382"/>
      <c r="W207" s="382"/>
      <c r="X207" s="382"/>
      <c r="Y207" s="382"/>
      <c r="Z207" s="382"/>
      <c r="AA207" s="382"/>
      <c r="AB207" s="382"/>
      <c r="AC207" s="382"/>
      <c r="AD207" s="382"/>
      <c r="AE207" s="382"/>
      <c r="AF207" s="374"/>
    </row>
    <row r="208" spans="1:32">
      <c r="A208" s="401">
        <v>206</v>
      </c>
      <c r="B208" s="401" t="s">
        <v>475</v>
      </c>
      <c r="C208" s="530" t="s">
        <v>613</v>
      </c>
      <c r="D208" s="530" t="s">
        <v>683</v>
      </c>
      <c r="E208" s="530"/>
      <c r="F208" s="389" t="s">
        <v>8</v>
      </c>
      <c r="G208" s="380" t="s">
        <v>262</v>
      </c>
      <c r="H208" s="379">
        <v>1</v>
      </c>
      <c r="I208" s="379">
        <v>15</v>
      </c>
      <c r="J208" s="379">
        <f t="shared" si="15"/>
        <v>1</v>
      </c>
      <c r="K208" s="379">
        <f t="shared" si="13"/>
        <v>15</v>
      </c>
      <c r="L208" s="643">
        <f>IFERROR(IF(B208="funkcna poziadavka",VLOOKUP(G208,MODULY_CBA!$B$3:$E$23,4,0)*H208/SUMIFS($H$3:$H$199,$G$3:$G$199,G208,$B$3:$B$199,B208),),)</f>
        <v>0.47540983606557374</v>
      </c>
      <c r="M208" s="379">
        <f>IFERROR(IF(B208="Funkcna poziadavka",VLOOKUP(G208,MODULY_CBA!$B$3:$E$23,3,0),),)</f>
        <v>0.93499999999999994</v>
      </c>
      <c r="N208" s="379">
        <f>IFERROR(IF(B208="funkcna poziadavka",VLOOKUP(G208,MODULY_CBA!$B$3:$E$23,2,0),),)</f>
        <v>1.18</v>
      </c>
      <c r="O208" s="378">
        <f t="shared" si="14"/>
        <v>17.074019672131147</v>
      </c>
      <c r="P208" s="377">
        <f>IFERROR(O208*VLOOKUP(G208,MODULY_CBA!$B$3:$F$23,5,0),)</f>
        <v>512.22059016393439</v>
      </c>
      <c r="Q208" s="478" t="str">
        <f>IFERROR(VLOOKUP(G208,MODULY_CBA!$B$3:$I$23,6,0),"")</f>
        <v>Inkrement 3</v>
      </c>
      <c r="R208" s="382"/>
      <c r="S208" s="382"/>
      <c r="T208" s="382"/>
      <c r="U208" s="382"/>
      <c r="V208" s="382"/>
      <c r="W208" s="382"/>
      <c r="X208" s="382"/>
      <c r="Y208" s="382"/>
      <c r="Z208" s="382"/>
      <c r="AA208" s="382"/>
      <c r="AB208" s="382"/>
      <c r="AC208" s="382"/>
      <c r="AD208" s="382"/>
      <c r="AE208" s="382"/>
      <c r="AF208" s="374"/>
    </row>
    <row r="209" spans="1:32">
      <c r="A209" s="401">
        <v>207</v>
      </c>
      <c r="B209" s="401" t="s">
        <v>475</v>
      </c>
      <c r="C209" s="530" t="s">
        <v>613</v>
      </c>
      <c r="D209" s="530" t="s">
        <v>684</v>
      </c>
      <c r="E209" s="530"/>
      <c r="F209" s="389" t="s">
        <v>8</v>
      </c>
      <c r="G209" s="380" t="s">
        <v>262</v>
      </c>
      <c r="H209" s="379">
        <v>1</v>
      </c>
      <c r="I209" s="379">
        <v>15</v>
      </c>
      <c r="J209" s="379">
        <f t="shared" si="15"/>
        <v>1</v>
      </c>
      <c r="K209" s="379">
        <f t="shared" si="13"/>
        <v>15</v>
      </c>
      <c r="L209" s="643">
        <f>IFERROR(IF(B209="funkcna poziadavka",VLOOKUP(G209,MODULY_CBA!$B$3:$E$23,4,0)*H209/SUMIFS($H$3:$H$199,$G$3:$G$199,G209,$B$3:$B$199,B209),),)</f>
        <v>0.47540983606557374</v>
      </c>
      <c r="M209" s="379">
        <f>IFERROR(IF(B209="Funkcna poziadavka",VLOOKUP(G209,MODULY_CBA!$B$3:$E$23,3,0),),)</f>
        <v>0.93499999999999994</v>
      </c>
      <c r="N209" s="379">
        <f>IFERROR(IF(B209="funkcna poziadavka",VLOOKUP(G209,MODULY_CBA!$B$3:$E$23,2,0),),)</f>
        <v>1.18</v>
      </c>
      <c r="O209" s="378">
        <f t="shared" si="14"/>
        <v>17.074019672131147</v>
      </c>
      <c r="P209" s="377">
        <f>IFERROR(O209*VLOOKUP(G209,MODULY_CBA!$B$3:$F$23,5,0),)</f>
        <v>512.22059016393439</v>
      </c>
      <c r="Q209" s="478" t="str">
        <f>IFERROR(VLOOKUP(G209,MODULY_CBA!$B$3:$I$23,6,0),"")</f>
        <v>Inkrement 3</v>
      </c>
      <c r="R209" s="382"/>
      <c r="S209" s="382"/>
      <c r="T209" s="382"/>
      <c r="U209" s="382"/>
      <c r="V209" s="382"/>
      <c r="W209" s="382"/>
      <c r="X209" s="382"/>
      <c r="Y209" s="382"/>
      <c r="Z209" s="382"/>
      <c r="AA209" s="382"/>
      <c r="AB209" s="382"/>
      <c r="AC209" s="382"/>
      <c r="AD209" s="382"/>
      <c r="AE209" s="382"/>
      <c r="AF209" s="374"/>
    </row>
    <row r="210" spans="1:32">
      <c r="A210" s="401">
        <v>208</v>
      </c>
      <c r="B210" s="401" t="s">
        <v>475</v>
      </c>
      <c r="C210" s="530" t="s">
        <v>613</v>
      </c>
      <c r="D210" s="530" t="s">
        <v>685</v>
      </c>
      <c r="E210" s="530"/>
      <c r="F210" s="389" t="s">
        <v>8</v>
      </c>
      <c r="G210" s="380" t="s">
        <v>262</v>
      </c>
      <c r="H210" s="379">
        <v>1</v>
      </c>
      <c r="I210" s="379">
        <v>15</v>
      </c>
      <c r="J210" s="379">
        <f t="shared" si="15"/>
        <v>1</v>
      </c>
      <c r="K210" s="379">
        <f t="shared" si="13"/>
        <v>15</v>
      </c>
      <c r="L210" s="643">
        <f>IFERROR(IF(B210="funkcna poziadavka",VLOOKUP(G210,MODULY_CBA!$B$3:$E$23,4,0)*H210/SUMIFS($H$3:$H$199,$G$3:$G$199,G210,$B$3:$B$199,B210),),)</f>
        <v>0.47540983606557374</v>
      </c>
      <c r="M210" s="379">
        <f>IFERROR(IF(B210="Funkcna poziadavka",VLOOKUP(G210,MODULY_CBA!$B$3:$E$23,3,0),),)</f>
        <v>0.93499999999999994</v>
      </c>
      <c r="N210" s="379">
        <f>IFERROR(IF(B210="funkcna poziadavka",VLOOKUP(G210,MODULY_CBA!$B$3:$E$23,2,0),),)</f>
        <v>1.18</v>
      </c>
      <c r="O210" s="378">
        <f t="shared" si="14"/>
        <v>17.074019672131147</v>
      </c>
      <c r="P210" s="377">
        <f>IFERROR(O210*VLOOKUP(G210,MODULY_CBA!$B$3:$F$23,5,0),)</f>
        <v>512.22059016393439</v>
      </c>
      <c r="Q210" s="478" t="str">
        <f>IFERROR(VLOOKUP(G210,MODULY_CBA!$B$3:$I$23,6,0),"")</f>
        <v>Inkrement 3</v>
      </c>
      <c r="R210" s="382"/>
      <c r="S210" s="382"/>
      <c r="T210" s="382"/>
      <c r="U210" s="382"/>
      <c r="V210" s="382"/>
      <c r="W210" s="382"/>
      <c r="X210" s="382"/>
      <c r="Y210" s="382"/>
      <c r="Z210" s="382"/>
      <c r="AA210" s="382"/>
      <c r="AB210" s="382"/>
      <c r="AC210" s="382"/>
      <c r="AD210" s="382"/>
      <c r="AE210" s="382"/>
      <c r="AF210" s="374"/>
    </row>
    <row r="211" spans="1:32">
      <c r="A211" s="401">
        <v>209</v>
      </c>
      <c r="B211" s="401" t="s">
        <v>475</v>
      </c>
      <c r="C211" s="530" t="s">
        <v>613</v>
      </c>
      <c r="D211" s="530" t="s">
        <v>686</v>
      </c>
      <c r="E211" s="530"/>
      <c r="F211" s="389" t="s">
        <v>8</v>
      </c>
      <c r="G211" s="380" t="s">
        <v>262</v>
      </c>
      <c r="H211" s="379">
        <v>1</v>
      </c>
      <c r="I211" s="379">
        <v>15</v>
      </c>
      <c r="J211" s="379">
        <f t="shared" si="15"/>
        <v>1</v>
      </c>
      <c r="K211" s="379">
        <f t="shared" si="13"/>
        <v>15</v>
      </c>
      <c r="L211" s="643">
        <f>IFERROR(IF(B211="funkcna poziadavka",VLOOKUP(G211,MODULY_CBA!$B$3:$E$23,4,0)*H211/SUMIFS($H$3:$H$199,$G$3:$G$199,G211,$B$3:$B$199,B211),),)</f>
        <v>0.47540983606557374</v>
      </c>
      <c r="M211" s="379">
        <f>IFERROR(IF(B211="Funkcna poziadavka",VLOOKUP(G211,MODULY_CBA!$B$3:$E$23,3,0),),)</f>
        <v>0.93499999999999994</v>
      </c>
      <c r="N211" s="379">
        <f>IFERROR(IF(B211="funkcna poziadavka",VLOOKUP(G211,MODULY_CBA!$B$3:$E$23,2,0),),)</f>
        <v>1.18</v>
      </c>
      <c r="O211" s="378">
        <f t="shared" si="14"/>
        <v>17.074019672131147</v>
      </c>
      <c r="P211" s="377">
        <f>IFERROR(O211*VLOOKUP(G211,MODULY_CBA!$B$3:$F$23,5,0),)</f>
        <v>512.22059016393439</v>
      </c>
      <c r="Q211" s="478" t="str">
        <f>IFERROR(VLOOKUP(G211,MODULY_CBA!$B$3:$I$23,6,0),"")</f>
        <v>Inkrement 3</v>
      </c>
      <c r="R211" s="382"/>
      <c r="S211" s="382"/>
      <c r="T211" s="382"/>
      <c r="U211" s="382"/>
      <c r="V211" s="382"/>
      <c r="W211" s="382"/>
      <c r="X211" s="382"/>
      <c r="Y211" s="382"/>
      <c r="Z211" s="382"/>
      <c r="AA211" s="382"/>
      <c r="AB211" s="382"/>
      <c r="AC211" s="382"/>
      <c r="AD211" s="382"/>
      <c r="AE211" s="382"/>
      <c r="AF211" s="374"/>
    </row>
    <row r="212" spans="1:32">
      <c r="A212" s="401">
        <v>210</v>
      </c>
      <c r="B212" s="401" t="s">
        <v>475</v>
      </c>
      <c r="C212" s="530" t="s">
        <v>613</v>
      </c>
      <c r="D212" s="530" t="s">
        <v>687</v>
      </c>
      <c r="E212" s="530"/>
      <c r="F212" s="389" t="s">
        <v>8</v>
      </c>
      <c r="G212" s="380" t="s">
        <v>262</v>
      </c>
      <c r="H212" s="379">
        <v>1</v>
      </c>
      <c r="I212" s="379">
        <v>15</v>
      </c>
      <c r="J212" s="379">
        <f t="shared" si="15"/>
        <v>1</v>
      </c>
      <c r="K212" s="379">
        <f t="shared" si="13"/>
        <v>15</v>
      </c>
      <c r="L212" s="643">
        <f>IFERROR(IF(B212="funkcna poziadavka",VLOOKUP(G212,MODULY_CBA!$B$3:$E$23,4,0)*H212/SUMIFS($H$3:$H$199,$G$3:$G$199,G212,$B$3:$B$199,B212),),)</f>
        <v>0.47540983606557374</v>
      </c>
      <c r="M212" s="379">
        <f>IFERROR(IF(B212="Funkcna poziadavka",VLOOKUP(G212,MODULY_CBA!$B$3:$E$23,3,0),),)</f>
        <v>0.93499999999999994</v>
      </c>
      <c r="N212" s="379">
        <f>IFERROR(IF(B212="funkcna poziadavka",VLOOKUP(G212,MODULY_CBA!$B$3:$E$23,2,0),),)</f>
        <v>1.18</v>
      </c>
      <c r="O212" s="378">
        <f t="shared" si="14"/>
        <v>17.074019672131147</v>
      </c>
      <c r="P212" s="377">
        <f>IFERROR(O212*VLOOKUP(G212,MODULY_CBA!$B$3:$F$23,5,0),)</f>
        <v>512.22059016393439</v>
      </c>
      <c r="Q212" s="478" t="str">
        <f>IFERROR(VLOOKUP(G212,MODULY_CBA!$B$3:$I$23,6,0),"")</f>
        <v>Inkrement 3</v>
      </c>
      <c r="R212" s="382"/>
      <c r="S212" s="382"/>
      <c r="T212" s="382"/>
      <c r="U212" s="382"/>
      <c r="V212" s="382"/>
      <c r="W212" s="382"/>
      <c r="X212" s="382"/>
      <c r="Y212" s="382"/>
      <c r="Z212" s="382"/>
      <c r="AA212" s="382"/>
      <c r="AB212" s="382"/>
      <c r="AC212" s="382"/>
      <c r="AD212" s="382"/>
      <c r="AE212" s="382"/>
      <c r="AF212" s="374"/>
    </row>
    <row r="213" spans="1:32">
      <c r="A213" s="401">
        <v>211</v>
      </c>
      <c r="B213" s="401" t="s">
        <v>475</v>
      </c>
      <c r="C213" s="530" t="s">
        <v>613</v>
      </c>
      <c r="D213" s="530" t="s">
        <v>688</v>
      </c>
      <c r="E213" s="530"/>
      <c r="F213" s="389" t="s">
        <v>8</v>
      </c>
      <c r="G213" s="380" t="s">
        <v>262</v>
      </c>
      <c r="H213" s="379">
        <v>1</v>
      </c>
      <c r="I213" s="379">
        <v>15</v>
      </c>
      <c r="J213" s="379">
        <f t="shared" si="15"/>
        <v>1</v>
      </c>
      <c r="K213" s="379">
        <f t="shared" si="13"/>
        <v>15</v>
      </c>
      <c r="L213" s="643">
        <f>IFERROR(IF(B213="funkcna poziadavka",VLOOKUP(G213,MODULY_CBA!$B$3:$E$23,4,0)*H213/SUMIFS($H$3:$H$199,$G$3:$G$199,G213,$B$3:$B$199,B213),),)</f>
        <v>0.47540983606557374</v>
      </c>
      <c r="M213" s="379">
        <f>IFERROR(IF(B213="Funkcna poziadavka",VLOOKUP(G213,MODULY_CBA!$B$3:$E$23,3,0),),)</f>
        <v>0.93499999999999994</v>
      </c>
      <c r="N213" s="379">
        <f>IFERROR(IF(B213="funkcna poziadavka",VLOOKUP(G213,MODULY_CBA!$B$3:$E$23,2,0),),)</f>
        <v>1.18</v>
      </c>
      <c r="O213" s="378">
        <f t="shared" si="14"/>
        <v>17.074019672131147</v>
      </c>
      <c r="P213" s="377">
        <f>IFERROR(O213*VLOOKUP(G213,MODULY_CBA!$B$3:$F$23,5,0),)</f>
        <v>512.22059016393439</v>
      </c>
      <c r="Q213" s="478" t="str">
        <f>IFERROR(VLOOKUP(G213,MODULY_CBA!$B$3:$I$23,6,0),"")</f>
        <v>Inkrement 3</v>
      </c>
      <c r="R213" s="382"/>
      <c r="S213" s="382"/>
      <c r="T213" s="382"/>
      <c r="U213" s="382"/>
      <c r="V213" s="382"/>
      <c r="W213" s="382"/>
      <c r="X213" s="382"/>
      <c r="Y213" s="382"/>
      <c r="Z213" s="382"/>
      <c r="AA213" s="382"/>
      <c r="AB213" s="382"/>
      <c r="AC213" s="382"/>
      <c r="AD213" s="382"/>
      <c r="AE213" s="382"/>
      <c r="AF213" s="374"/>
    </row>
    <row r="214" spans="1:32">
      <c r="A214" s="401">
        <v>212</v>
      </c>
      <c r="B214" s="401" t="s">
        <v>475</v>
      </c>
      <c r="C214" s="530" t="s">
        <v>613</v>
      </c>
      <c r="D214" s="530" t="s">
        <v>689</v>
      </c>
      <c r="E214" s="530"/>
      <c r="F214" s="389" t="s">
        <v>8</v>
      </c>
      <c r="G214" s="380" t="s">
        <v>262</v>
      </c>
      <c r="H214" s="379">
        <v>1</v>
      </c>
      <c r="I214" s="379">
        <v>15</v>
      </c>
      <c r="J214" s="379">
        <f t="shared" si="15"/>
        <v>1</v>
      </c>
      <c r="K214" s="379">
        <f t="shared" si="13"/>
        <v>15</v>
      </c>
      <c r="L214" s="643">
        <f>IFERROR(IF(B214="funkcna poziadavka",VLOOKUP(G214,MODULY_CBA!$B$3:$E$23,4,0)*H214/SUMIFS($H$3:$H$199,$G$3:$G$199,G214,$B$3:$B$199,B214),),)</f>
        <v>0.47540983606557374</v>
      </c>
      <c r="M214" s="379">
        <f>IFERROR(IF(B214="Funkcna poziadavka",VLOOKUP(G214,MODULY_CBA!$B$3:$E$23,3,0),),)</f>
        <v>0.93499999999999994</v>
      </c>
      <c r="N214" s="379">
        <f>IFERROR(IF(B214="funkcna poziadavka",VLOOKUP(G214,MODULY_CBA!$B$3:$E$23,2,0),),)</f>
        <v>1.18</v>
      </c>
      <c r="O214" s="378">
        <f t="shared" si="14"/>
        <v>17.074019672131147</v>
      </c>
      <c r="P214" s="377">
        <f>IFERROR(O214*VLOOKUP(G214,MODULY_CBA!$B$3:$F$23,5,0),)</f>
        <v>512.22059016393439</v>
      </c>
      <c r="Q214" s="478" t="str">
        <f>IFERROR(VLOOKUP(G214,MODULY_CBA!$B$3:$I$23,6,0),"")</f>
        <v>Inkrement 3</v>
      </c>
      <c r="R214" s="382"/>
      <c r="S214" s="382"/>
      <c r="T214" s="382"/>
      <c r="U214" s="382"/>
      <c r="V214" s="382"/>
      <c r="W214" s="382"/>
      <c r="X214" s="382"/>
      <c r="Y214" s="382"/>
      <c r="Z214" s="382"/>
      <c r="AA214" s="382"/>
      <c r="AB214" s="382"/>
      <c r="AC214" s="382"/>
      <c r="AD214" s="382"/>
      <c r="AE214" s="382"/>
      <c r="AF214" s="374"/>
    </row>
    <row r="215" spans="1:32">
      <c r="A215" s="401">
        <v>213</v>
      </c>
      <c r="B215" s="401" t="s">
        <v>475</v>
      </c>
      <c r="C215" s="530" t="s">
        <v>613</v>
      </c>
      <c r="D215" s="530" t="s">
        <v>690</v>
      </c>
      <c r="E215" s="530"/>
      <c r="F215" s="389" t="s">
        <v>8</v>
      </c>
      <c r="G215" s="380" t="s">
        <v>262</v>
      </c>
      <c r="H215" s="379">
        <v>1</v>
      </c>
      <c r="I215" s="379">
        <v>15</v>
      </c>
      <c r="J215" s="379">
        <f t="shared" si="15"/>
        <v>1</v>
      </c>
      <c r="K215" s="379">
        <f t="shared" si="13"/>
        <v>15</v>
      </c>
      <c r="L215" s="643">
        <f>IFERROR(IF(B215="funkcna poziadavka",VLOOKUP(G215,MODULY_CBA!$B$3:$E$23,4,0)*H215/SUMIFS($H$3:$H$199,$G$3:$G$199,G215,$B$3:$B$199,B215),),)</f>
        <v>0.47540983606557374</v>
      </c>
      <c r="M215" s="379">
        <f>IFERROR(IF(B215="Funkcna poziadavka",VLOOKUP(G215,MODULY_CBA!$B$3:$E$23,3,0),),)</f>
        <v>0.93499999999999994</v>
      </c>
      <c r="N215" s="379">
        <f>IFERROR(IF(B215="funkcna poziadavka",VLOOKUP(G215,MODULY_CBA!$B$3:$E$23,2,0),),)</f>
        <v>1.18</v>
      </c>
      <c r="O215" s="378">
        <f t="shared" si="14"/>
        <v>17.074019672131147</v>
      </c>
      <c r="P215" s="377">
        <f>IFERROR(O215*VLOOKUP(G215,MODULY_CBA!$B$3:$F$23,5,0),)</f>
        <v>512.22059016393439</v>
      </c>
      <c r="Q215" s="478" t="str">
        <f>IFERROR(VLOOKUP(G215,MODULY_CBA!$B$3:$I$23,6,0),"")</f>
        <v>Inkrement 3</v>
      </c>
      <c r="R215" s="382"/>
      <c r="S215" s="382"/>
      <c r="T215" s="382"/>
      <c r="U215" s="382"/>
      <c r="V215" s="382"/>
      <c r="W215" s="382"/>
      <c r="X215" s="382"/>
      <c r="Y215" s="382"/>
      <c r="Z215" s="382"/>
      <c r="AA215" s="382"/>
      <c r="AB215" s="382"/>
      <c r="AC215" s="382"/>
      <c r="AD215" s="382"/>
      <c r="AE215" s="382"/>
      <c r="AF215" s="374"/>
    </row>
    <row r="216" spans="1:32">
      <c r="A216" s="401">
        <v>214</v>
      </c>
      <c r="B216" s="401" t="s">
        <v>475</v>
      </c>
      <c r="C216" s="530" t="s">
        <v>613</v>
      </c>
      <c r="D216" s="530" t="s">
        <v>691</v>
      </c>
      <c r="E216" s="530"/>
      <c r="F216" s="389" t="s">
        <v>8</v>
      </c>
      <c r="G216" s="380" t="s">
        <v>262</v>
      </c>
      <c r="H216" s="379">
        <v>1</v>
      </c>
      <c r="I216" s="379">
        <v>15</v>
      </c>
      <c r="J216" s="379">
        <f t="shared" si="15"/>
        <v>1</v>
      </c>
      <c r="K216" s="379">
        <f t="shared" si="13"/>
        <v>15</v>
      </c>
      <c r="L216" s="643">
        <f>IFERROR(IF(B216="funkcna poziadavka",VLOOKUP(G216,MODULY_CBA!$B$3:$E$23,4,0)*H216/SUMIFS($H$3:$H$199,$G$3:$G$199,G216,$B$3:$B$199,B216),),)</f>
        <v>0.47540983606557374</v>
      </c>
      <c r="M216" s="379">
        <f>IFERROR(IF(B216="Funkcna poziadavka",VLOOKUP(G216,MODULY_CBA!$B$3:$E$23,3,0),),)</f>
        <v>0.93499999999999994</v>
      </c>
      <c r="N216" s="379">
        <f>IFERROR(IF(B216="funkcna poziadavka",VLOOKUP(G216,MODULY_CBA!$B$3:$E$23,2,0),),)</f>
        <v>1.18</v>
      </c>
      <c r="O216" s="378">
        <f t="shared" si="14"/>
        <v>17.074019672131147</v>
      </c>
      <c r="P216" s="377">
        <f>IFERROR(O216*VLOOKUP(G216,MODULY_CBA!$B$3:$F$23,5,0),)</f>
        <v>512.22059016393439</v>
      </c>
      <c r="Q216" s="478" t="str">
        <f>IFERROR(VLOOKUP(G216,MODULY_CBA!$B$3:$I$23,6,0),"")</f>
        <v>Inkrement 3</v>
      </c>
      <c r="R216" s="382"/>
      <c r="S216" s="382"/>
      <c r="T216" s="382"/>
      <c r="U216" s="382"/>
      <c r="V216" s="382"/>
      <c r="W216" s="382"/>
      <c r="X216" s="382"/>
      <c r="Y216" s="382"/>
      <c r="Z216" s="382"/>
      <c r="AA216" s="382"/>
      <c r="AB216" s="382"/>
      <c r="AC216" s="382"/>
      <c r="AD216" s="382"/>
      <c r="AE216" s="382"/>
      <c r="AF216" s="374"/>
    </row>
    <row r="217" spans="1:32">
      <c r="A217" s="401">
        <v>215</v>
      </c>
      <c r="B217" s="401" t="s">
        <v>475</v>
      </c>
      <c r="C217" s="530" t="s">
        <v>613</v>
      </c>
      <c r="D217" s="530" t="s">
        <v>692</v>
      </c>
      <c r="E217" s="530"/>
      <c r="F217" s="389" t="s">
        <v>8</v>
      </c>
      <c r="G217" s="380" t="s">
        <v>262</v>
      </c>
      <c r="H217" s="379">
        <v>1</v>
      </c>
      <c r="I217" s="379">
        <v>15</v>
      </c>
      <c r="J217" s="379">
        <f t="shared" si="15"/>
        <v>1</v>
      </c>
      <c r="K217" s="379">
        <f t="shared" si="13"/>
        <v>15</v>
      </c>
      <c r="L217" s="643">
        <f>IFERROR(IF(B217="funkcna poziadavka",VLOOKUP(G217,MODULY_CBA!$B$3:$E$23,4,0)*H217/SUMIFS($H$3:$H$199,$G$3:$G$199,G217,$B$3:$B$199,B217),),)</f>
        <v>0.47540983606557374</v>
      </c>
      <c r="M217" s="379">
        <f>IFERROR(IF(B217="Funkcna poziadavka",VLOOKUP(G217,MODULY_CBA!$B$3:$E$23,3,0),),)</f>
        <v>0.93499999999999994</v>
      </c>
      <c r="N217" s="379">
        <f>IFERROR(IF(B217="funkcna poziadavka",VLOOKUP(G217,MODULY_CBA!$B$3:$E$23,2,0),),)</f>
        <v>1.18</v>
      </c>
      <c r="O217" s="378">
        <f t="shared" si="14"/>
        <v>17.074019672131147</v>
      </c>
      <c r="P217" s="377">
        <f>IFERROR(O217*VLOOKUP(G217,MODULY_CBA!$B$3:$F$23,5,0),)</f>
        <v>512.22059016393439</v>
      </c>
      <c r="Q217" s="478" t="str">
        <f>IFERROR(VLOOKUP(G217,MODULY_CBA!$B$3:$I$23,6,0),"")</f>
        <v>Inkrement 3</v>
      </c>
      <c r="R217" s="382"/>
      <c r="S217" s="382"/>
      <c r="T217" s="382"/>
      <c r="U217" s="382"/>
      <c r="V217" s="382"/>
      <c r="W217" s="382"/>
      <c r="X217" s="382"/>
      <c r="Y217" s="382"/>
      <c r="Z217" s="382"/>
      <c r="AA217" s="382"/>
      <c r="AB217" s="382"/>
      <c r="AC217" s="382"/>
      <c r="AD217" s="382"/>
      <c r="AE217" s="382"/>
      <c r="AF217" s="374"/>
    </row>
    <row r="218" spans="1:32">
      <c r="A218" s="401">
        <v>216</v>
      </c>
      <c r="B218" s="401" t="s">
        <v>475</v>
      </c>
      <c r="C218" s="530" t="s">
        <v>613</v>
      </c>
      <c r="D218" s="530" t="s">
        <v>693</v>
      </c>
      <c r="E218" s="530"/>
      <c r="F218" s="389" t="s">
        <v>8</v>
      </c>
      <c r="G218" s="380" t="s">
        <v>262</v>
      </c>
      <c r="H218" s="379">
        <v>1</v>
      </c>
      <c r="I218" s="379">
        <v>15</v>
      </c>
      <c r="J218" s="379">
        <f t="shared" si="15"/>
        <v>1</v>
      </c>
      <c r="K218" s="379">
        <f t="shared" si="13"/>
        <v>15</v>
      </c>
      <c r="L218" s="643">
        <f>IFERROR(IF(B218="funkcna poziadavka",VLOOKUP(G218,MODULY_CBA!$B$3:$E$23,4,0)*H218/SUMIFS($H$3:$H$199,$G$3:$G$199,G218,$B$3:$B$199,B218),),)</f>
        <v>0.47540983606557374</v>
      </c>
      <c r="M218" s="379">
        <f>IFERROR(IF(B218="Funkcna poziadavka",VLOOKUP(G218,MODULY_CBA!$B$3:$E$23,3,0),),)</f>
        <v>0.93499999999999994</v>
      </c>
      <c r="N218" s="379">
        <f>IFERROR(IF(B218="funkcna poziadavka",VLOOKUP(G218,MODULY_CBA!$B$3:$E$23,2,0),),)</f>
        <v>1.18</v>
      </c>
      <c r="O218" s="378">
        <f t="shared" si="14"/>
        <v>17.074019672131147</v>
      </c>
      <c r="P218" s="377">
        <f>IFERROR(O218*VLOOKUP(G218,MODULY_CBA!$B$3:$F$23,5,0),)</f>
        <v>512.22059016393439</v>
      </c>
      <c r="Q218" s="478" t="str">
        <f>IFERROR(VLOOKUP(G218,MODULY_CBA!$B$3:$I$23,6,0),"")</f>
        <v>Inkrement 3</v>
      </c>
      <c r="R218" s="382"/>
      <c r="S218" s="382"/>
      <c r="T218" s="382"/>
      <c r="U218" s="382"/>
      <c r="V218" s="382"/>
      <c r="W218" s="382"/>
      <c r="X218" s="382"/>
      <c r="Y218" s="382"/>
      <c r="Z218" s="382"/>
      <c r="AA218" s="382"/>
      <c r="AB218" s="382"/>
      <c r="AC218" s="382"/>
      <c r="AD218" s="382"/>
      <c r="AE218" s="382"/>
      <c r="AF218" s="374"/>
    </row>
    <row r="219" spans="1:32">
      <c r="A219" s="401">
        <v>217</v>
      </c>
      <c r="B219" s="401" t="s">
        <v>475</v>
      </c>
      <c r="C219" s="530" t="s">
        <v>613</v>
      </c>
      <c r="D219" s="530" t="s">
        <v>694</v>
      </c>
      <c r="E219" s="530"/>
      <c r="F219" s="389" t="s">
        <v>8</v>
      </c>
      <c r="G219" s="380" t="s">
        <v>262</v>
      </c>
      <c r="H219" s="379">
        <v>1</v>
      </c>
      <c r="I219" s="379">
        <v>15</v>
      </c>
      <c r="J219" s="379">
        <f t="shared" si="15"/>
        <v>1</v>
      </c>
      <c r="K219" s="379">
        <f t="shared" si="13"/>
        <v>15</v>
      </c>
      <c r="L219" s="643">
        <f>IFERROR(IF(B219="funkcna poziadavka",VLOOKUP(G219,MODULY_CBA!$B$3:$E$23,4,0)*H219/SUMIFS($H$3:$H$199,$G$3:$G$199,G219,$B$3:$B$199,B219),),)</f>
        <v>0.47540983606557374</v>
      </c>
      <c r="M219" s="379">
        <f>IFERROR(IF(B219="Funkcna poziadavka",VLOOKUP(G219,MODULY_CBA!$B$3:$E$23,3,0),),)</f>
        <v>0.93499999999999994</v>
      </c>
      <c r="N219" s="379">
        <f>IFERROR(IF(B219="funkcna poziadavka",VLOOKUP(G219,MODULY_CBA!$B$3:$E$23,2,0),),)</f>
        <v>1.18</v>
      </c>
      <c r="O219" s="378">
        <f t="shared" si="14"/>
        <v>17.074019672131147</v>
      </c>
      <c r="P219" s="377">
        <f>IFERROR(O219*VLOOKUP(G219,MODULY_CBA!$B$3:$F$23,5,0),)</f>
        <v>512.22059016393439</v>
      </c>
      <c r="Q219" s="478" t="str">
        <f>IFERROR(VLOOKUP(G219,MODULY_CBA!$B$3:$I$23,6,0),"")</f>
        <v>Inkrement 3</v>
      </c>
      <c r="R219" s="382"/>
      <c r="S219" s="382"/>
      <c r="T219" s="382"/>
      <c r="U219" s="382"/>
      <c r="V219" s="382"/>
      <c r="W219" s="382"/>
      <c r="X219" s="382"/>
      <c r="Y219" s="382"/>
      <c r="Z219" s="382"/>
      <c r="AA219" s="382"/>
      <c r="AB219" s="382"/>
      <c r="AC219" s="382"/>
      <c r="AD219" s="382"/>
      <c r="AE219" s="382"/>
      <c r="AF219" s="374"/>
    </row>
    <row r="220" spans="1:32">
      <c r="A220" s="401">
        <v>218</v>
      </c>
      <c r="B220" s="401" t="s">
        <v>475</v>
      </c>
      <c r="C220" s="530" t="s">
        <v>613</v>
      </c>
      <c r="D220" s="530" t="s">
        <v>695</v>
      </c>
      <c r="E220" s="530"/>
      <c r="F220" s="389" t="s">
        <v>8</v>
      </c>
      <c r="G220" s="380" t="s">
        <v>262</v>
      </c>
      <c r="H220" s="379">
        <v>1</v>
      </c>
      <c r="I220" s="379">
        <v>15</v>
      </c>
      <c r="J220" s="379">
        <f t="shared" si="15"/>
        <v>1</v>
      </c>
      <c r="K220" s="379">
        <f t="shared" si="13"/>
        <v>15</v>
      </c>
      <c r="L220" s="643">
        <f>IFERROR(IF(B220="funkcna poziadavka",VLOOKUP(G220,MODULY_CBA!$B$3:$E$23,4,0)*H220/SUMIFS($H$3:$H$199,$G$3:$G$199,G220,$B$3:$B$199,B220),),)</f>
        <v>0.47540983606557374</v>
      </c>
      <c r="M220" s="379">
        <f>IFERROR(IF(B220="Funkcna poziadavka",VLOOKUP(G220,MODULY_CBA!$B$3:$E$23,3,0),),)</f>
        <v>0.93499999999999994</v>
      </c>
      <c r="N220" s="379">
        <f>IFERROR(IF(B220="funkcna poziadavka",VLOOKUP(G220,MODULY_CBA!$B$3:$E$23,2,0),),)</f>
        <v>1.18</v>
      </c>
      <c r="O220" s="378">
        <f t="shared" si="14"/>
        <v>17.074019672131147</v>
      </c>
      <c r="P220" s="377">
        <f>IFERROR(O220*VLOOKUP(G220,MODULY_CBA!$B$3:$F$23,5,0),)</f>
        <v>512.22059016393439</v>
      </c>
      <c r="Q220" s="478" t="str">
        <f>IFERROR(VLOOKUP(G220,MODULY_CBA!$B$3:$I$23,6,0),"")</f>
        <v>Inkrement 3</v>
      </c>
      <c r="R220" s="382"/>
      <c r="S220" s="382"/>
      <c r="T220" s="382"/>
      <c r="U220" s="382"/>
      <c r="V220" s="382"/>
      <c r="W220" s="382"/>
      <c r="X220" s="382"/>
      <c r="Y220" s="382"/>
      <c r="Z220" s="382"/>
      <c r="AA220" s="382"/>
      <c r="AB220" s="382"/>
      <c r="AC220" s="382"/>
      <c r="AD220" s="382"/>
      <c r="AE220" s="382"/>
      <c r="AF220" s="374"/>
    </row>
    <row r="221" spans="1:32">
      <c r="A221" s="401">
        <v>219</v>
      </c>
      <c r="B221" s="401" t="s">
        <v>475</v>
      </c>
      <c r="C221" s="530" t="s">
        <v>613</v>
      </c>
      <c r="D221" s="530" t="s">
        <v>696</v>
      </c>
      <c r="E221" s="530"/>
      <c r="F221" s="389" t="s">
        <v>8</v>
      </c>
      <c r="G221" s="380" t="s">
        <v>262</v>
      </c>
      <c r="H221" s="379">
        <v>1</v>
      </c>
      <c r="I221" s="379">
        <v>15</v>
      </c>
      <c r="J221" s="379">
        <f t="shared" si="15"/>
        <v>1</v>
      </c>
      <c r="K221" s="379">
        <f t="shared" si="13"/>
        <v>15</v>
      </c>
      <c r="L221" s="643">
        <f>IFERROR(IF(B221="funkcna poziadavka",VLOOKUP(G221,MODULY_CBA!$B$3:$E$23,4,0)*H221/SUMIFS($H$3:$H$199,$G$3:$G$199,G221,$B$3:$B$199,B221),),)</f>
        <v>0.47540983606557374</v>
      </c>
      <c r="M221" s="379">
        <f>IFERROR(IF(B221="Funkcna poziadavka",VLOOKUP(G221,MODULY_CBA!$B$3:$E$23,3,0),),)</f>
        <v>0.93499999999999994</v>
      </c>
      <c r="N221" s="379">
        <f>IFERROR(IF(B221="funkcna poziadavka",VLOOKUP(G221,MODULY_CBA!$B$3:$E$23,2,0),),)</f>
        <v>1.18</v>
      </c>
      <c r="O221" s="378">
        <f t="shared" si="14"/>
        <v>17.074019672131147</v>
      </c>
      <c r="P221" s="377">
        <f>IFERROR(O221*VLOOKUP(G221,MODULY_CBA!$B$3:$F$23,5,0),)</f>
        <v>512.22059016393439</v>
      </c>
      <c r="Q221" s="478" t="str">
        <f>IFERROR(VLOOKUP(G221,MODULY_CBA!$B$3:$I$23,6,0),"")</f>
        <v>Inkrement 3</v>
      </c>
      <c r="R221" s="382"/>
      <c r="S221" s="382"/>
      <c r="T221" s="382"/>
      <c r="U221" s="382"/>
      <c r="V221" s="382"/>
      <c r="W221" s="382"/>
      <c r="X221" s="382"/>
      <c r="Y221" s="382"/>
      <c r="Z221" s="382"/>
      <c r="AA221" s="382"/>
      <c r="AB221" s="382"/>
      <c r="AC221" s="382"/>
      <c r="AD221" s="382"/>
      <c r="AE221" s="382"/>
      <c r="AF221" s="374"/>
    </row>
    <row r="222" spans="1:32">
      <c r="A222" s="401">
        <v>220</v>
      </c>
      <c r="B222" s="401" t="s">
        <v>475</v>
      </c>
      <c r="C222" s="530" t="s">
        <v>613</v>
      </c>
      <c r="D222" s="530" t="s">
        <v>697</v>
      </c>
      <c r="E222" s="530"/>
      <c r="F222" s="389" t="s">
        <v>8</v>
      </c>
      <c r="G222" s="380" t="s">
        <v>262</v>
      </c>
      <c r="H222" s="379">
        <v>1</v>
      </c>
      <c r="I222" s="379">
        <v>15</v>
      </c>
      <c r="J222" s="379">
        <f t="shared" si="15"/>
        <v>1</v>
      </c>
      <c r="K222" s="379">
        <f t="shared" si="13"/>
        <v>15</v>
      </c>
      <c r="L222" s="643">
        <f>IFERROR(IF(B222="funkcna poziadavka",VLOOKUP(G222,MODULY_CBA!$B$3:$E$23,4,0)*H222/SUMIFS($H$3:$H$199,$G$3:$G$199,G222,$B$3:$B$199,B222),),)</f>
        <v>0.47540983606557374</v>
      </c>
      <c r="M222" s="379">
        <f>IFERROR(IF(B222="Funkcna poziadavka",VLOOKUP(G222,MODULY_CBA!$B$3:$E$23,3,0),),)</f>
        <v>0.93499999999999994</v>
      </c>
      <c r="N222" s="379">
        <f>IFERROR(IF(B222="funkcna poziadavka",VLOOKUP(G222,MODULY_CBA!$B$3:$E$23,2,0),),)</f>
        <v>1.18</v>
      </c>
      <c r="O222" s="378">
        <f t="shared" si="14"/>
        <v>17.074019672131147</v>
      </c>
      <c r="P222" s="377">
        <f>IFERROR(O222*VLOOKUP(G222,MODULY_CBA!$B$3:$F$23,5,0),)</f>
        <v>512.22059016393439</v>
      </c>
      <c r="Q222" s="478" t="str">
        <f>IFERROR(VLOOKUP(G222,MODULY_CBA!$B$3:$I$23,6,0),"")</f>
        <v>Inkrement 3</v>
      </c>
      <c r="R222" s="382"/>
      <c r="S222" s="382"/>
      <c r="T222" s="382"/>
      <c r="U222" s="382"/>
      <c r="V222" s="382"/>
      <c r="W222" s="382"/>
      <c r="X222" s="382"/>
      <c r="Y222" s="382"/>
      <c r="Z222" s="382"/>
      <c r="AA222" s="382"/>
      <c r="AB222" s="382"/>
      <c r="AC222" s="382"/>
      <c r="AD222" s="382"/>
      <c r="AE222" s="382"/>
      <c r="AF222" s="374"/>
    </row>
    <row r="223" spans="1:32">
      <c r="A223" s="401">
        <v>221</v>
      </c>
      <c r="B223" s="401" t="s">
        <v>475</v>
      </c>
      <c r="C223" s="530" t="s">
        <v>613</v>
      </c>
      <c r="D223" s="530" t="s">
        <v>698</v>
      </c>
      <c r="E223" s="530"/>
      <c r="F223" s="389" t="s">
        <v>8</v>
      </c>
      <c r="G223" s="380" t="s">
        <v>262</v>
      </c>
      <c r="H223" s="379">
        <v>1</v>
      </c>
      <c r="I223" s="379">
        <v>15</v>
      </c>
      <c r="J223" s="379">
        <f t="shared" si="15"/>
        <v>1</v>
      </c>
      <c r="K223" s="379">
        <f t="shared" si="13"/>
        <v>15</v>
      </c>
      <c r="L223" s="643">
        <f>IFERROR(IF(B223="funkcna poziadavka",VLOOKUP(G223,MODULY_CBA!$B$3:$E$23,4,0)*H223/SUMIFS($H$3:$H$199,$G$3:$G$199,G223,$B$3:$B$199,B223),),)</f>
        <v>0.47540983606557374</v>
      </c>
      <c r="M223" s="379">
        <f>IFERROR(IF(B223="Funkcna poziadavka",VLOOKUP(G223,MODULY_CBA!$B$3:$E$23,3,0),),)</f>
        <v>0.93499999999999994</v>
      </c>
      <c r="N223" s="379">
        <f>IFERROR(IF(B223="funkcna poziadavka",VLOOKUP(G223,MODULY_CBA!$B$3:$E$23,2,0),),)</f>
        <v>1.18</v>
      </c>
      <c r="O223" s="378">
        <f t="shared" si="14"/>
        <v>17.074019672131147</v>
      </c>
      <c r="P223" s="377">
        <f>IFERROR(O223*VLOOKUP(G223,MODULY_CBA!$B$3:$F$23,5,0),)</f>
        <v>512.22059016393439</v>
      </c>
      <c r="Q223" s="478" t="str">
        <f>IFERROR(VLOOKUP(G223,MODULY_CBA!$B$3:$I$23,6,0),"")</f>
        <v>Inkrement 3</v>
      </c>
      <c r="R223" s="382"/>
      <c r="S223" s="382"/>
      <c r="T223" s="382"/>
      <c r="U223" s="382"/>
      <c r="V223" s="382"/>
      <c r="W223" s="382"/>
      <c r="X223" s="382"/>
      <c r="Y223" s="382"/>
      <c r="Z223" s="382"/>
      <c r="AA223" s="382"/>
      <c r="AB223" s="382"/>
      <c r="AC223" s="382"/>
      <c r="AD223" s="382"/>
      <c r="AE223" s="382"/>
      <c r="AF223" s="374"/>
    </row>
    <row r="224" spans="1:32">
      <c r="A224" s="401">
        <v>222</v>
      </c>
      <c r="B224" s="401" t="s">
        <v>475</v>
      </c>
      <c r="C224" s="530" t="s">
        <v>613</v>
      </c>
      <c r="D224" s="530" t="s">
        <v>699</v>
      </c>
      <c r="E224" s="530"/>
      <c r="F224" s="389" t="s">
        <v>8</v>
      </c>
      <c r="G224" s="380" t="s">
        <v>262</v>
      </c>
      <c r="H224" s="379">
        <v>1</v>
      </c>
      <c r="I224" s="379">
        <v>15</v>
      </c>
      <c r="J224" s="379">
        <f t="shared" si="15"/>
        <v>1</v>
      </c>
      <c r="K224" s="379">
        <f t="shared" si="13"/>
        <v>15</v>
      </c>
      <c r="L224" s="643">
        <f>IFERROR(IF(B224="funkcna poziadavka",VLOOKUP(G224,MODULY_CBA!$B$3:$E$23,4,0)*H224/SUMIFS($H$3:$H$199,$G$3:$G$199,G224,$B$3:$B$199,B224),),)</f>
        <v>0.47540983606557374</v>
      </c>
      <c r="M224" s="379">
        <f>IFERROR(IF(B224="Funkcna poziadavka",VLOOKUP(G224,MODULY_CBA!$B$3:$E$23,3,0),),)</f>
        <v>0.93499999999999994</v>
      </c>
      <c r="N224" s="379">
        <f>IFERROR(IF(B224="funkcna poziadavka",VLOOKUP(G224,MODULY_CBA!$B$3:$E$23,2,0),),)</f>
        <v>1.18</v>
      </c>
      <c r="O224" s="378">
        <f t="shared" si="14"/>
        <v>17.074019672131147</v>
      </c>
      <c r="P224" s="377">
        <f>IFERROR(O224*VLOOKUP(G224,MODULY_CBA!$B$3:$F$23,5,0),)</f>
        <v>512.22059016393439</v>
      </c>
      <c r="Q224" s="478" t="str">
        <f>IFERROR(VLOOKUP(G224,MODULY_CBA!$B$3:$I$23,6,0),"")</f>
        <v>Inkrement 3</v>
      </c>
      <c r="R224" s="382"/>
      <c r="S224" s="382"/>
      <c r="T224" s="382"/>
      <c r="U224" s="382"/>
      <c r="V224" s="382"/>
      <c r="W224" s="382"/>
      <c r="X224" s="382"/>
      <c r="Y224" s="382"/>
      <c r="Z224" s="382"/>
      <c r="AA224" s="382"/>
      <c r="AB224" s="382"/>
      <c r="AC224" s="382"/>
      <c r="AD224" s="382"/>
      <c r="AE224" s="382"/>
      <c r="AF224" s="374"/>
    </row>
    <row r="225" spans="1:32">
      <c r="A225" s="401">
        <v>223</v>
      </c>
      <c r="B225" s="401" t="s">
        <v>475</v>
      </c>
      <c r="C225" s="530" t="s">
        <v>613</v>
      </c>
      <c r="D225" s="530" t="s">
        <v>700</v>
      </c>
      <c r="E225" s="530"/>
      <c r="F225" s="389" t="s">
        <v>8</v>
      </c>
      <c r="G225" s="380" t="s">
        <v>262</v>
      </c>
      <c r="H225" s="379">
        <v>1</v>
      </c>
      <c r="I225" s="379">
        <v>15</v>
      </c>
      <c r="J225" s="379">
        <f t="shared" si="15"/>
        <v>1</v>
      </c>
      <c r="K225" s="379">
        <f t="shared" si="13"/>
        <v>15</v>
      </c>
      <c r="L225" s="643">
        <f>IFERROR(IF(B225="funkcna poziadavka",VLOOKUP(G225,MODULY_CBA!$B$3:$E$23,4,0)*H225/SUMIFS($H$3:$H$199,$G$3:$G$199,G225,$B$3:$B$199,B225),),)</f>
        <v>0.47540983606557374</v>
      </c>
      <c r="M225" s="379">
        <f>IFERROR(IF(B225="Funkcna poziadavka",VLOOKUP(G225,MODULY_CBA!$B$3:$E$23,3,0),),)</f>
        <v>0.93499999999999994</v>
      </c>
      <c r="N225" s="379">
        <f>IFERROR(IF(B225="funkcna poziadavka",VLOOKUP(G225,MODULY_CBA!$B$3:$E$23,2,0),),)</f>
        <v>1.18</v>
      </c>
      <c r="O225" s="378">
        <f t="shared" si="14"/>
        <v>17.074019672131147</v>
      </c>
      <c r="P225" s="377">
        <f>IFERROR(O225*VLOOKUP(G225,MODULY_CBA!$B$3:$F$23,5,0),)</f>
        <v>512.22059016393439</v>
      </c>
      <c r="Q225" s="478" t="str">
        <f>IFERROR(VLOOKUP(G225,MODULY_CBA!$B$3:$I$23,6,0),"")</f>
        <v>Inkrement 3</v>
      </c>
      <c r="R225" s="382"/>
      <c r="S225" s="382"/>
      <c r="T225" s="382"/>
      <c r="U225" s="382"/>
      <c r="V225" s="382"/>
      <c r="W225" s="382"/>
      <c r="X225" s="382"/>
      <c r="Y225" s="382"/>
      <c r="Z225" s="382"/>
      <c r="AA225" s="382"/>
      <c r="AB225" s="382"/>
      <c r="AC225" s="382"/>
      <c r="AD225" s="382"/>
      <c r="AE225" s="382"/>
      <c r="AF225" s="374"/>
    </row>
    <row r="226" spans="1:32">
      <c r="A226" s="401">
        <v>224</v>
      </c>
      <c r="B226" s="401" t="s">
        <v>475</v>
      </c>
      <c r="C226" s="530" t="s">
        <v>613</v>
      </c>
      <c r="D226" s="530" t="s">
        <v>701</v>
      </c>
      <c r="E226" s="530"/>
      <c r="F226" s="389" t="s">
        <v>8</v>
      </c>
      <c r="G226" s="380" t="s">
        <v>262</v>
      </c>
      <c r="H226" s="379">
        <v>1</v>
      </c>
      <c r="I226" s="379">
        <v>15</v>
      </c>
      <c r="J226" s="379">
        <f t="shared" si="15"/>
        <v>1</v>
      </c>
      <c r="K226" s="379">
        <f t="shared" si="13"/>
        <v>15</v>
      </c>
      <c r="L226" s="643">
        <f>IFERROR(IF(B226="funkcna poziadavka",VLOOKUP(G226,MODULY_CBA!$B$3:$E$23,4,0)*H226/SUMIFS($H$3:$H$199,$G$3:$G$199,G226,$B$3:$B$199,B226),),)</f>
        <v>0.47540983606557374</v>
      </c>
      <c r="M226" s="379">
        <f>IFERROR(IF(B226="Funkcna poziadavka",VLOOKUP(G226,MODULY_CBA!$B$3:$E$23,3,0),),)</f>
        <v>0.93499999999999994</v>
      </c>
      <c r="N226" s="379">
        <f>IFERROR(IF(B226="funkcna poziadavka",VLOOKUP(G226,MODULY_CBA!$B$3:$E$23,2,0),),)</f>
        <v>1.18</v>
      </c>
      <c r="O226" s="378">
        <f t="shared" si="14"/>
        <v>17.074019672131147</v>
      </c>
      <c r="P226" s="377">
        <f>IFERROR(O226*VLOOKUP(G226,MODULY_CBA!$B$3:$F$23,5,0),)</f>
        <v>512.22059016393439</v>
      </c>
      <c r="Q226" s="478" t="str">
        <f>IFERROR(VLOOKUP(G226,MODULY_CBA!$B$3:$I$23,6,0),"")</f>
        <v>Inkrement 3</v>
      </c>
      <c r="R226" s="382"/>
      <c r="S226" s="382"/>
      <c r="T226" s="382"/>
      <c r="U226" s="382"/>
      <c r="V226" s="382"/>
      <c r="W226" s="382"/>
      <c r="X226" s="382"/>
      <c r="Y226" s="382"/>
      <c r="Z226" s="382"/>
      <c r="AA226" s="382"/>
      <c r="AB226" s="382"/>
      <c r="AC226" s="382"/>
      <c r="AD226" s="382"/>
      <c r="AE226" s="382"/>
      <c r="AF226" s="374"/>
    </row>
    <row r="227" spans="1:32">
      <c r="A227" s="401">
        <v>225</v>
      </c>
      <c r="B227" s="401" t="s">
        <v>475</v>
      </c>
      <c r="C227" s="530" t="s">
        <v>613</v>
      </c>
      <c r="D227" s="530" t="s">
        <v>702</v>
      </c>
      <c r="E227" s="530"/>
      <c r="F227" s="389" t="s">
        <v>8</v>
      </c>
      <c r="G227" s="380" t="s">
        <v>262</v>
      </c>
      <c r="H227" s="379">
        <v>1</v>
      </c>
      <c r="I227" s="379">
        <v>15</v>
      </c>
      <c r="J227" s="379">
        <f t="shared" si="15"/>
        <v>1</v>
      </c>
      <c r="K227" s="379">
        <f t="shared" si="13"/>
        <v>15</v>
      </c>
      <c r="L227" s="643">
        <f>IFERROR(IF(B227="funkcna poziadavka",VLOOKUP(G227,MODULY_CBA!$B$3:$E$23,4,0)*H227/SUMIFS($H$3:$H$199,$G$3:$G$199,G227,$B$3:$B$199,B227),),)</f>
        <v>0.47540983606557374</v>
      </c>
      <c r="M227" s="379">
        <f>IFERROR(IF(B227="Funkcna poziadavka",VLOOKUP(G227,MODULY_CBA!$B$3:$E$23,3,0),),)</f>
        <v>0.93499999999999994</v>
      </c>
      <c r="N227" s="379">
        <f>IFERROR(IF(B227="funkcna poziadavka",VLOOKUP(G227,MODULY_CBA!$B$3:$E$23,2,0),),)</f>
        <v>1.18</v>
      </c>
      <c r="O227" s="378">
        <f t="shared" si="14"/>
        <v>17.074019672131147</v>
      </c>
      <c r="P227" s="377">
        <f>IFERROR(O227*VLOOKUP(G227,MODULY_CBA!$B$3:$F$23,5,0),)</f>
        <v>512.22059016393439</v>
      </c>
      <c r="Q227" s="478" t="str">
        <f>IFERROR(VLOOKUP(G227,MODULY_CBA!$B$3:$I$23,6,0),"")</f>
        <v>Inkrement 3</v>
      </c>
      <c r="R227" s="382"/>
      <c r="S227" s="382"/>
      <c r="T227" s="382"/>
      <c r="U227" s="382"/>
      <c r="V227" s="382"/>
      <c r="W227" s="382"/>
      <c r="X227" s="382"/>
      <c r="Y227" s="382"/>
      <c r="Z227" s="382"/>
      <c r="AA227" s="382"/>
      <c r="AB227" s="382"/>
      <c r="AC227" s="382"/>
      <c r="AD227" s="382"/>
      <c r="AE227" s="382"/>
      <c r="AF227" s="374"/>
    </row>
    <row r="228" spans="1:32">
      <c r="A228" s="401">
        <v>226</v>
      </c>
      <c r="B228" s="401" t="s">
        <v>475</v>
      </c>
      <c r="C228" s="530" t="s">
        <v>613</v>
      </c>
      <c r="D228" s="530" t="s">
        <v>703</v>
      </c>
      <c r="E228" s="530"/>
      <c r="F228" s="389" t="s">
        <v>8</v>
      </c>
      <c r="G228" s="380" t="s">
        <v>262</v>
      </c>
      <c r="H228" s="379">
        <v>1</v>
      </c>
      <c r="I228" s="379">
        <v>15</v>
      </c>
      <c r="J228" s="379">
        <f t="shared" si="15"/>
        <v>1</v>
      </c>
      <c r="K228" s="379">
        <f t="shared" si="13"/>
        <v>15</v>
      </c>
      <c r="L228" s="643">
        <f>IFERROR(IF(B228="funkcna poziadavka",VLOOKUP(G228,MODULY_CBA!$B$3:$E$23,4,0)*H228/SUMIFS($H$3:$H$199,$G$3:$G$199,G228,$B$3:$B$199,B228),),)</f>
        <v>0.47540983606557374</v>
      </c>
      <c r="M228" s="379">
        <f>IFERROR(IF(B228="Funkcna poziadavka",VLOOKUP(G228,MODULY_CBA!$B$3:$E$23,3,0),),)</f>
        <v>0.93499999999999994</v>
      </c>
      <c r="N228" s="379">
        <f>IFERROR(IF(B228="funkcna poziadavka",VLOOKUP(G228,MODULY_CBA!$B$3:$E$23,2,0),),)</f>
        <v>1.18</v>
      </c>
      <c r="O228" s="378">
        <f t="shared" si="14"/>
        <v>17.074019672131147</v>
      </c>
      <c r="P228" s="377">
        <f>IFERROR(O228*VLOOKUP(G228,MODULY_CBA!$B$3:$F$23,5,0),)</f>
        <v>512.22059016393439</v>
      </c>
      <c r="Q228" s="478" t="str">
        <f>IFERROR(VLOOKUP(G228,MODULY_CBA!$B$3:$I$23,6,0),"")</f>
        <v>Inkrement 3</v>
      </c>
      <c r="R228" s="382"/>
      <c r="S228" s="382"/>
      <c r="T228" s="382"/>
      <c r="U228" s="382"/>
      <c r="V228" s="382"/>
      <c r="W228" s="382"/>
      <c r="X228" s="382"/>
      <c r="Y228" s="382"/>
      <c r="Z228" s="382"/>
      <c r="AA228" s="382"/>
      <c r="AB228" s="382"/>
      <c r="AC228" s="382"/>
      <c r="AD228" s="382"/>
      <c r="AE228" s="382"/>
      <c r="AF228" s="374"/>
    </row>
    <row r="229" spans="1:32" ht="25.5">
      <c r="A229" s="401">
        <v>227</v>
      </c>
      <c r="B229" s="401" t="s">
        <v>475</v>
      </c>
      <c r="C229" s="530" t="s">
        <v>613</v>
      </c>
      <c r="D229" s="530" t="s">
        <v>704</v>
      </c>
      <c r="E229" s="530"/>
      <c r="F229" s="389" t="s">
        <v>8</v>
      </c>
      <c r="G229" s="380" t="s">
        <v>262</v>
      </c>
      <c r="H229" s="379">
        <v>1</v>
      </c>
      <c r="I229" s="379">
        <v>15</v>
      </c>
      <c r="J229" s="379">
        <f t="shared" si="15"/>
        <v>1</v>
      </c>
      <c r="K229" s="379">
        <f t="shared" si="13"/>
        <v>15</v>
      </c>
      <c r="L229" s="643">
        <f>IFERROR(IF(B229="funkcna poziadavka",VLOOKUP(G229,MODULY_CBA!$B$3:$E$23,4,0)*H229/SUMIFS($H$3:$H$199,$G$3:$G$199,G229,$B$3:$B$199,B229),),)</f>
        <v>0.47540983606557374</v>
      </c>
      <c r="M229" s="379">
        <f>IFERROR(IF(B229="Funkcna poziadavka",VLOOKUP(G229,MODULY_CBA!$B$3:$E$23,3,0),),)</f>
        <v>0.93499999999999994</v>
      </c>
      <c r="N229" s="379">
        <f>IFERROR(IF(B229="funkcna poziadavka",VLOOKUP(G229,MODULY_CBA!$B$3:$E$23,2,0),),)</f>
        <v>1.18</v>
      </c>
      <c r="O229" s="378">
        <f t="shared" si="14"/>
        <v>17.074019672131147</v>
      </c>
      <c r="P229" s="377">
        <f>IFERROR(O229*VLOOKUP(G229,MODULY_CBA!$B$3:$F$23,5,0),)</f>
        <v>512.22059016393439</v>
      </c>
      <c r="Q229" s="478" t="str">
        <f>IFERROR(VLOOKUP(G229,MODULY_CBA!$B$3:$I$23,6,0),"")</f>
        <v>Inkrement 3</v>
      </c>
      <c r="R229" s="382"/>
      <c r="S229" s="382"/>
      <c r="T229" s="382"/>
      <c r="U229" s="382"/>
      <c r="V229" s="382"/>
      <c r="W229" s="382"/>
      <c r="X229" s="382"/>
      <c r="Y229" s="382"/>
      <c r="Z229" s="382"/>
      <c r="AA229" s="382"/>
      <c r="AB229" s="382"/>
      <c r="AC229" s="382"/>
      <c r="AD229" s="382"/>
      <c r="AE229" s="382"/>
      <c r="AF229" s="374"/>
    </row>
    <row r="230" spans="1:32">
      <c r="A230" s="401">
        <v>228</v>
      </c>
      <c r="B230" s="401" t="s">
        <v>475</v>
      </c>
      <c r="C230" s="530" t="s">
        <v>613</v>
      </c>
      <c r="D230" s="530" t="s">
        <v>705</v>
      </c>
      <c r="E230" s="530"/>
      <c r="F230" s="389" t="s">
        <v>8</v>
      </c>
      <c r="G230" s="380" t="s">
        <v>262</v>
      </c>
      <c r="H230" s="379">
        <v>1</v>
      </c>
      <c r="I230" s="379">
        <v>15</v>
      </c>
      <c r="J230" s="379">
        <f t="shared" si="15"/>
        <v>1</v>
      </c>
      <c r="K230" s="379">
        <f t="shared" si="13"/>
        <v>15</v>
      </c>
      <c r="L230" s="643">
        <f>IFERROR(IF(B230="funkcna poziadavka",VLOOKUP(G230,MODULY_CBA!$B$3:$E$23,4,0)*H230/SUMIFS($H$3:$H$199,$G$3:$G$199,G230,$B$3:$B$199,B230),),)</f>
        <v>0.47540983606557374</v>
      </c>
      <c r="M230" s="379">
        <f>IFERROR(IF(B230="Funkcna poziadavka",VLOOKUP(G230,MODULY_CBA!$B$3:$E$23,3,0),),)</f>
        <v>0.93499999999999994</v>
      </c>
      <c r="N230" s="379">
        <f>IFERROR(IF(B230="funkcna poziadavka",VLOOKUP(G230,MODULY_CBA!$B$3:$E$23,2,0),),)</f>
        <v>1.18</v>
      </c>
      <c r="O230" s="378">
        <f t="shared" si="14"/>
        <v>17.074019672131147</v>
      </c>
      <c r="P230" s="377">
        <f>IFERROR(O230*VLOOKUP(G230,MODULY_CBA!$B$3:$F$23,5,0),)</f>
        <v>512.22059016393439</v>
      </c>
      <c r="Q230" s="478" t="str">
        <f>IFERROR(VLOOKUP(G230,MODULY_CBA!$B$3:$I$23,6,0),"")</f>
        <v>Inkrement 3</v>
      </c>
      <c r="R230" s="382"/>
      <c r="S230" s="382"/>
      <c r="T230" s="382"/>
      <c r="U230" s="382"/>
      <c r="V230" s="382"/>
      <c r="W230" s="382"/>
      <c r="X230" s="382"/>
      <c r="Y230" s="382"/>
      <c r="Z230" s="382"/>
      <c r="AA230" s="382"/>
      <c r="AB230" s="382"/>
      <c r="AC230" s="382"/>
      <c r="AD230" s="382"/>
      <c r="AE230" s="382"/>
      <c r="AF230" s="374"/>
    </row>
    <row r="231" spans="1:32">
      <c r="A231" s="401">
        <v>229</v>
      </c>
      <c r="B231" s="401" t="s">
        <v>475</v>
      </c>
      <c r="C231" s="530" t="s">
        <v>613</v>
      </c>
      <c r="D231" s="530" t="s">
        <v>706</v>
      </c>
      <c r="E231" s="530"/>
      <c r="F231" s="389" t="s">
        <v>8</v>
      </c>
      <c r="G231" s="380" t="s">
        <v>262</v>
      </c>
      <c r="H231" s="379">
        <v>1</v>
      </c>
      <c r="I231" s="379">
        <v>15</v>
      </c>
      <c r="J231" s="379">
        <f t="shared" si="15"/>
        <v>1</v>
      </c>
      <c r="K231" s="379">
        <f t="shared" si="13"/>
        <v>15</v>
      </c>
      <c r="L231" s="643">
        <f>IFERROR(IF(B231="funkcna poziadavka",VLOOKUP(G231,MODULY_CBA!$B$3:$E$23,4,0)*H231/SUMIFS($H$3:$H$199,$G$3:$G$199,G231,$B$3:$B$199,B231),),)</f>
        <v>0.47540983606557374</v>
      </c>
      <c r="M231" s="379">
        <f>IFERROR(IF(B231="Funkcna poziadavka",VLOOKUP(G231,MODULY_CBA!$B$3:$E$23,3,0),),)</f>
        <v>0.93499999999999994</v>
      </c>
      <c r="N231" s="379">
        <f>IFERROR(IF(B231="funkcna poziadavka",VLOOKUP(G231,MODULY_CBA!$B$3:$E$23,2,0),),)</f>
        <v>1.18</v>
      </c>
      <c r="O231" s="378">
        <f t="shared" si="14"/>
        <v>17.074019672131147</v>
      </c>
      <c r="P231" s="377">
        <f>IFERROR(O231*VLOOKUP(G231,MODULY_CBA!$B$3:$F$23,5,0),)</f>
        <v>512.22059016393439</v>
      </c>
      <c r="Q231" s="478" t="str">
        <f>IFERROR(VLOOKUP(G231,MODULY_CBA!$B$3:$I$23,6,0),"")</f>
        <v>Inkrement 3</v>
      </c>
      <c r="R231" s="382"/>
      <c r="S231" s="382"/>
      <c r="T231" s="382"/>
      <c r="U231" s="382"/>
      <c r="V231" s="382"/>
      <c r="W231" s="382"/>
      <c r="X231" s="382"/>
      <c r="Y231" s="382"/>
      <c r="Z231" s="382"/>
      <c r="AA231" s="382"/>
      <c r="AB231" s="382"/>
      <c r="AC231" s="382"/>
      <c r="AD231" s="382"/>
      <c r="AE231" s="382"/>
      <c r="AF231" s="374"/>
    </row>
    <row r="232" spans="1:32">
      <c r="A232" s="401">
        <v>230</v>
      </c>
      <c r="B232" s="401" t="s">
        <v>475</v>
      </c>
      <c r="C232" s="530" t="s">
        <v>613</v>
      </c>
      <c r="D232" s="530" t="s">
        <v>707</v>
      </c>
      <c r="E232" s="530"/>
      <c r="F232" s="389" t="s">
        <v>8</v>
      </c>
      <c r="G232" s="380" t="s">
        <v>262</v>
      </c>
      <c r="H232" s="379">
        <v>1</v>
      </c>
      <c r="I232" s="379">
        <v>15</v>
      </c>
      <c r="J232" s="379">
        <f t="shared" si="15"/>
        <v>1</v>
      </c>
      <c r="K232" s="379">
        <f t="shared" si="13"/>
        <v>15</v>
      </c>
      <c r="L232" s="643">
        <f>IFERROR(IF(B232="funkcna poziadavka",VLOOKUP(G232,MODULY_CBA!$B$3:$E$23,4,0)*H232/SUMIFS($H$3:$H$199,$G$3:$G$199,G232,$B$3:$B$199,B232),),)</f>
        <v>0.47540983606557374</v>
      </c>
      <c r="M232" s="379">
        <f>IFERROR(IF(B232="Funkcna poziadavka",VLOOKUP(G232,MODULY_CBA!$B$3:$E$23,3,0),),)</f>
        <v>0.93499999999999994</v>
      </c>
      <c r="N232" s="379">
        <f>IFERROR(IF(B232="funkcna poziadavka",VLOOKUP(G232,MODULY_CBA!$B$3:$E$23,2,0),),)</f>
        <v>1.18</v>
      </c>
      <c r="O232" s="378">
        <f t="shared" si="14"/>
        <v>17.074019672131147</v>
      </c>
      <c r="P232" s="377">
        <f>IFERROR(O232*VLOOKUP(G232,MODULY_CBA!$B$3:$F$23,5,0),)</f>
        <v>512.22059016393439</v>
      </c>
      <c r="Q232" s="478" t="str">
        <f>IFERROR(VLOOKUP(G232,MODULY_CBA!$B$3:$I$23,6,0),"")</f>
        <v>Inkrement 3</v>
      </c>
      <c r="R232" s="382"/>
      <c r="S232" s="382"/>
      <c r="T232" s="382"/>
      <c r="U232" s="382"/>
      <c r="V232" s="382"/>
      <c r="W232" s="382"/>
      <c r="X232" s="382"/>
      <c r="Y232" s="382"/>
      <c r="Z232" s="382"/>
      <c r="AA232" s="382"/>
      <c r="AB232" s="382"/>
      <c r="AC232" s="382"/>
      <c r="AD232" s="382"/>
      <c r="AE232" s="382"/>
      <c r="AF232" s="374"/>
    </row>
    <row r="233" spans="1:32">
      <c r="A233" s="401">
        <v>231</v>
      </c>
      <c r="B233" s="401" t="s">
        <v>475</v>
      </c>
      <c r="C233" s="530" t="s">
        <v>613</v>
      </c>
      <c r="D233" s="530" t="s">
        <v>708</v>
      </c>
      <c r="E233" s="530"/>
      <c r="F233" s="389" t="s">
        <v>8</v>
      </c>
      <c r="G233" s="380" t="s">
        <v>262</v>
      </c>
      <c r="H233" s="379">
        <v>1</v>
      </c>
      <c r="I233" s="379">
        <v>15</v>
      </c>
      <c r="J233" s="379">
        <f t="shared" si="15"/>
        <v>1</v>
      </c>
      <c r="K233" s="379">
        <f t="shared" si="13"/>
        <v>15</v>
      </c>
      <c r="L233" s="643">
        <f>IFERROR(IF(B233="funkcna poziadavka",VLOOKUP(G233,MODULY_CBA!$B$3:$E$23,4,0)*H233/SUMIFS($H$3:$H$199,$G$3:$G$199,G233,$B$3:$B$199,B233),),)</f>
        <v>0.47540983606557374</v>
      </c>
      <c r="M233" s="379">
        <f>IFERROR(IF(B233="Funkcna poziadavka",VLOOKUP(G233,MODULY_CBA!$B$3:$E$23,3,0),),)</f>
        <v>0.93499999999999994</v>
      </c>
      <c r="N233" s="379">
        <f>IFERROR(IF(B233="funkcna poziadavka",VLOOKUP(G233,MODULY_CBA!$B$3:$E$23,2,0),),)</f>
        <v>1.18</v>
      </c>
      <c r="O233" s="378">
        <f t="shared" si="14"/>
        <v>17.074019672131147</v>
      </c>
      <c r="P233" s="377">
        <f>IFERROR(O233*VLOOKUP(G233,MODULY_CBA!$B$3:$F$23,5,0),)</f>
        <v>512.22059016393439</v>
      </c>
      <c r="Q233" s="478" t="str">
        <f>IFERROR(VLOOKUP(G233,MODULY_CBA!$B$3:$I$23,6,0),"")</f>
        <v>Inkrement 3</v>
      </c>
      <c r="R233" s="382"/>
      <c r="S233" s="382"/>
      <c r="T233" s="382"/>
      <c r="U233" s="382"/>
      <c r="V233" s="382"/>
      <c r="W233" s="382"/>
      <c r="X233" s="382"/>
      <c r="Y233" s="382"/>
      <c r="Z233" s="382"/>
      <c r="AA233" s="382"/>
      <c r="AB233" s="382"/>
      <c r="AC233" s="382"/>
      <c r="AD233" s="382"/>
      <c r="AE233" s="382"/>
      <c r="AF233" s="374"/>
    </row>
    <row r="234" spans="1:32">
      <c r="A234" s="401">
        <v>232</v>
      </c>
      <c r="B234" s="401" t="s">
        <v>475</v>
      </c>
      <c r="C234" s="530" t="s">
        <v>613</v>
      </c>
      <c r="D234" s="530" t="s">
        <v>709</v>
      </c>
      <c r="E234" s="530"/>
      <c r="F234" s="389" t="s">
        <v>8</v>
      </c>
      <c r="G234" s="380" t="s">
        <v>262</v>
      </c>
      <c r="H234" s="379">
        <v>1</v>
      </c>
      <c r="I234" s="379">
        <v>15</v>
      </c>
      <c r="J234" s="379">
        <f t="shared" si="15"/>
        <v>1</v>
      </c>
      <c r="K234" s="379">
        <f t="shared" ref="K234:K297" si="16">H234*I234</f>
        <v>15</v>
      </c>
      <c r="L234" s="643">
        <f>IFERROR(IF(B234="funkcna poziadavka",VLOOKUP(G234,MODULY_CBA!$B$3:$E$23,4,0)*H234/SUMIFS($H$3:$H$199,$G$3:$G$199,G234,$B$3:$B$199,B234),),)</f>
        <v>0.47540983606557374</v>
      </c>
      <c r="M234" s="379">
        <f>IFERROR(IF(B234="Funkcna poziadavka",VLOOKUP(G234,MODULY_CBA!$B$3:$E$23,3,0),),)</f>
        <v>0.93499999999999994</v>
      </c>
      <c r="N234" s="379">
        <f>IFERROR(IF(B234="funkcna poziadavka",VLOOKUP(G234,MODULY_CBA!$B$3:$E$23,2,0),),)</f>
        <v>1.18</v>
      </c>
      <c r="O234" s="378">
        <f t="shared" ref="O234:O297" si="17">(K234+L234)*M234*N234</f>
        <v>17.074019672131147</v>
      </c>
      <c r="P234" s="377">
        <f>IFERROR(O234*VLOOKUP(G234,MODULY_CBA!$B$3:$F$23,5,0),)</f>
        <v>512.22059016393439</v>
      </c>
      <c r="Q234" s="478" t="str">
        <f>IFERROR(VLOOKUP(G234,MODULY_CBA!$B$3:$I$23,6,0),"")</f>
        <v>Inkrement 3</v>
      </c>
      <c r="R234" s="382"/>
      <c r="S234" s="382"/>
      <c r="T234" s="382"/>
      <c r="U234" s="382"/>
      <c r="V234" s="382"/>
      <c r="W234" s="382"/>
      <c r="X234" s="382"/>
      <c r="Y234" s="382"/>
      <c r="Z234" s="382"/>
      <c r="AA234" s="382"/>
      <c r="AB234" s="382"/>
      <c r="AC234" s="382"/>
      <c r="AD234" s="382"/>
      <c r="AE234" s="382"/>
      <c r="AF234" s="374"/>
    </row>
    <row r="235" spans="1:32" ht="25.5">
      <c r="A235" s="401">
        <v>233</v>
      </c>
      <c r="B235" s="401" t="s">
        <v>475</v>
      </c>
      <c r="C235" s="530" t="s">
        <v>613</v>
      </c>
      <c r="D235" s="530" t="s">
        <v>710</v>
      </c>
      <c r="E235" s="530"/>
      <c r="F235" s="389" t="s">
        <v>8</v>
      </c>
      <c r="G235" s="380" t="s">
        <v>262</v>
      </c>
      <c r="H235" s="379">
        <v>1</v>
      </c>
      <c r="I235" s="379">
        <v>15</v>
      </c>
      <c r="J235" s="379">
        <f t="shared" si="15"/>
        <v>1</v>
      </c>
      <c r="K235" s="379">
        <f t="shared" si="16"/>
        <v>15</v>
      </c>
      <c r="L235" s="643">
        <f>IFERROR(IF(B235="funkcna poziadavka",VLOOKUP(G235,MODULY_CBA!$B$3:$E$23,4,0)*H235/SUMIFS($H$3:$H$199,$G$3:$G$199,G235,$B$3:$B$199,B235),),)</f>
        <v>0.47540983606557374</v>
      </c>
      <c r="M235" s="379">
        <f>IFERROR(IF(B235="Funkcna poziadavka",VLOOKUP(G235,MODULY_CBA!$B$3:$E$23,3,0),),)</f>
        <v>0.93499999999999994</v>
      </c>
      <c r="N235" s="379">
        <f>IFERROR(IF(B235="funkcna poziadavka",VLOOKUP(G235,MODULY_CBA!$B$3:$E$23,2,0),),)</f>
        <v>1.18</v>
      </c>
      <c r="O235" s="378">
        <f t="shared" si="17"/>
        <v>17.074019672131147</v>
      </c>
      <c r="P235" s="377">
        <f>IFERROR(O235*VLOOKUP(G235,MODULY_CBA!$B$3:$F$23,5,0),)</f>
        <v>512.22059016393439</v>
      </c>
      <c r="Q235" s="478" t="str">
        <f>IFERROR(VLOOKUP(G235,MODULY_CBA!$B$3:$I$23,6,0),"")</f>
        <v>Inkrement 3</v>
      </c>
      <c r="R235" s="382"/>
      <c r="S235" s="382"/>
      <c r="T235" s="382"/>
      <c r="U235" s="382"/>
      <c r="V235" s="382"/>
      <c r="W235" s="382"/>
      <c r="X235" s="382"/>
      <c r="Y235" s="382"/>
      <c r="Z235" s="382"/>
      <c r="AA235" s="382"/>
      <c r="AB235" s="382"/>
      <c r="AC235" s="382"/>
      <c r="AD235" s="382"/>
      <c r="AE235" s="382"/>
      <c r="AF235" s="374"/>
    </row>
    <row r="236" spans="1:32">
      <c r="A236" s="401">
        <v>234</v>
      </c>
      <c r="B236" s="401" t="s">
        <v>475</v>
      </c>
      <c r="C236" s="530" t="s">
        <v>613</v>
      </c>
      <c r="D236" s="530" t="s">
        <v>711</v>
      </c>
      <c r="E236" s="530"/>
      <c r="F236" s="389" t="s">
        <v>8</v>
      </c>
      <c r="G236" s="380" t="s">
        <v>262</v>
      </c>
      <c r="H236" s="379">
        <v>1</v>
      </c>
      <c r="I236" s="379">
        <v>15</v>
      </c>
      <c r="J236" s="379">
        <f t="shared" si="15"/>
        <v>1</v>
      </c>
      <c r="K236" s="379">
        <f t="shared" si="16"/>
        <v>15</v>
      </c>
      <c r="L236" s="643">
        <f>IFERROR(IF(B236="funkcna poziadavka",VLOOKUP(G236,MODULY_CBA!$B$3:$E$23,4,0)*H236/SUMIFS($H$3:$H$199,$G$3:$G$199,G236,$B$3:$B$199,B236),),)</f>
        <v>0.47540983606557374</v>
      </c>
      <c r="M236" s="379">
        <f>IFERROR(IF(B236="Funkcna poziadavka",VLOOKUP(G236,MODULY_CBA!$B$3:$E$23,3,0),),)</f>
        <v>0.93499999999999994</v>
      </c>
      <c r="N236" s="379">
        <f>IFERROR(IF(B236="funkcna poziadavka",VLOOKUP(G236,MODULY_CBA!$B$3:$E$23,2,0),),)</f>
        <v>1.18</v>
      </c>
      <c r="O236" s="378">
        <f t="shared" si="17"/>
        <v>17.074019672131147</v>
      </c>
      <c r="P236" s="377">
        <f>IFERROR(O236*VLOOKUP(G236,MODULY_CBA!$B$3:$F$23,5,0),)</f>
        <v>512.22059016393439</v>
      </c>
      <c r="Q236" s="478" t="str">
        <f>IFERROR(VLOOKUP(G236,MODULY_CBA!$B$3:$I$23,6,0),"")</f>
        <v>Inkrement 3</v>
      </c>
      <c r="R236" s="382"/>
      <c r="S236" s="382"/>
      <c r="T236" s="382"/>
      <c r="U236" s="382"/>
      <c r="V236" s="382"/>
      <c r="W236" s="382"/>
      <c r="X236" s="382"/>
      <c r="Y236" s="382"/>
      <c r="Z236" s="382"/>
      <c r="AA236" s="382"/>
      <c r="AB236" s="382"/>
      <c r="AC236" s="382"/>
      <c r="AD236" s="382"/>
      <c r="AE236" s="382"/>
      <c r="AF236" s="374"/>
    </row>
    <row r="237" spans="1:32">
      <c r="A237" s="401">
        <v>235</v>
      </c>
      <c r="B237" s="401" t="s">
        <v>475</v>
      </c>
      <c r="C237" s="530" t="s">
        <v>613</v>
      </c>
      <c r="D237" s="530" t="s">
        <v>712</v>
      </c>
      <c r="E237" s="530"/>
      <c r="F237" s="389" t="s">
        <v>8</v>
      </c>
      <c r="G237" s="380" t="s">
        <v>262</v>
      </c>
      <c r="H237" s="379">
        <v>1</v>
      </c>
      <c r="I237" s="379">
        <v>15</v>
      </c>
      <c r="J237" s="379">
        <f t="shared" si="15"/>
        <v>1</v>
      </c>
      <c r="K237" s="379">
        <f t="shared" si="16"/>
        <v>15</v>
      </c>
      <c r="L237" s="643">
        <f>IFERROR(IF(B237="funkcna poziadavka",VLOOKUP(G237,MODULY_CBA!$B$3:$E$23,4,0)*H237/SUMIFS($H$3:$H$199,$G$3:$G$199,G237,$B$3:$B$199,B237),),)</f>
        <v>0.47540983606557374</v>
      </c>
      <c r="M237" s="379">
        <f>IFERROR(IF(B237="Funkcna poziadavka",VLOOKUP(G237,MODULY_CBA!$B$3:$E$23,3,0),),)</f>
        <v>0.93499999999999994</v>
      </c>
      <c r="N237" s="379">
        <f>IFERROR(IF(B237="funkcna poziadavka",VLOOKUP(G237,MODULY_CBA!$B$3:$E$23,2,0),),)</f>
        <v>1.18</v>
      </c>
      <c r="O237" s="378">
        <f t="shared" si="17"/>
        <v>17.074019672131147</v>
      </c>
      <c r="P237" s="377">
        <f>IFERROR(O237*VLOOKUP(G237,MODULY_CBA!$B$3:$F$23,5,0),)</f>
        <v>512.22059016393439</v>
      </c>
      <c r="Q237" s="478" t="str">
        <f>IFERROR(VLOOKUP(G237,MODULY_CBA!$B$3:$I$23,6,0),"")</f>
        <v>Inkrement 3</v>
      </c>
      <c r="R237" s="382"/>
      <c r="S237" s="382"/>
      <c r="T237" s="382"/>
      <c r="U237" s="382"/>
      <c r="V237" s="382"/>
      <c r="W237" s="382"/>
      <c r="X237" s="382"/>
      <c r="Y237" s="382"/>
      <c r="Z237" s="382"/>
      <c r="AA237" s="382"/>
      <c r="AB237" s="382"/>
      <c r="AC237" s="382"/>
      <c r="AD237" s="382"/>
      <c r="AE237" s="382"/>
      <c r="AF237" s="374"/>
    </row>
    <row r="238" spans="1:32">
      <c r="A238" s="401">
        <v>236</v>
      </c>
      <c r="B238" s="401" t="s">
        <v>475</v>
      </c>
      <c r="C238" s="530" t="s">
        <v>613</v>
      </c>
      <c r="D238" s="530" t="s">
        <v>713</v>
      </c>
      <c r="E238" s="530"/>
      <c r="F238" s="389" t="s">
        <v>8</v>
      </c>
      <c r="G238" s="380" t="s">
        <v>262</v>
      </c>
      <c r="H238" s="379">
        <v>1</v>
      </c>
      <c r="I238" s="379">
        <v>15</v>
      </c>
      <c r="J238" s="379">
        <f t="shared" si="15"/>
        <v>1</v>
      </c>
      <c r="K238" s="379">
        <f t="shared" si="16"/>
        <v>15</v>
      </c>
      <c r="L238" s="643">
        <f>IFERROR(IF(B238="funkcna poziadavka",VLOOKUP(G238,MODULY_CBA!$B$3:$E$23,4,0)*H238/SUMIFS($H$3:$H$199,$G$3:$G$199,G238,$B$3:$B$199,B238),),)</f>
        <v>0.47540983606557374</v>
      </c>
      <c r="M238" s="379">
        <f>IFERROR(IF(B238="Funkcna poziadavka",VLOOKUP(G238,MODULY_CBA!$B$3:$E$23,3,0),),)</f>
        <v>0.93499999999999994</v>
      </c>
      <c r="N238" s="379">
        <f>IFERROR(IF(B238="funkcna poziadavka",VLOOKUP(G238,MODULY_CBA!$B$3:$E$23,2,0),),)</f>
        <v>1.18</v>
      </c>
      <c r="O238" s="378">
        <f t="shared" si="17"/>
        <v>17.074019672131147</v>
      </c>
      <c r="P238" s="377">
        <f>IFERROR(O238*VLOOKUP(G238,MODULY_CBA!$B$3:$F$23,5,0),)</f>
        <v>512.22059016393439</v>
      </c>
      <c r="Q238" s="478" t="str">
        <f>IFERROR(VLOOKUP(G238,MODULY_CBA!$B$3:$I$23,6,0),"")</f>
        <v>Inkrement 3</v>
      </c>
      <c r="R238" s="382"/>
      <c r="S238" s="382"/>
      <c r="T238" s="382"/>
      <c r="U238" s="382"/>
      <c r="V238" s="382"/>
      <c r="W238" s="382"/>
      <c r="X238" s="382"/>
      <c r="Y238" s="382"/>
      <c r="Z238" s="382"/>
      <c r="AA238" s="382"/>
      <c r="AB238" s="382"/>
      <c r="AC238" s="382"/>
      <c r="AD238" s="382"/>
      <c r="AE238" s="382"/>
      <c r="AF238" s="374"/>
    </row>
    <row r="239" spans="1:32">
      <c r="A239" s="401">
        <v>237</v>
      </c>
      <c r="B239" s="401" t="s">
        <v>475</v>
      </c>
      <c r="C239" s="530" t="s">
        <v>613</v>
      </c>
      <c r="D239" s="530" t="s">
        <v>714</v>
      </c>
      <c r="E239" s="530"/>
      <c r="F239" s="389" t="s">
        <v>8</v>
      </c>
      <c r="G239" s="380" t="s">
        <v>262</v>
      </c>
      <c r="H239" s="379">
        <v>1</v>
      </c>
      <c r="I239" s="379">
        <v>15</v>
      </c>
      <c r="J239" s="379">
        <f t="shared" si="15"/>
        <v>1</v>
      </c>
      <c r="K239" s="379">
        <f t="shared" si="16"/>
        <v>15</v>
      </c>
      <c r="L239" s="643">
        <f>IFERROR(IF(B239="funkcna poziadavka",VLOOKUP(G239,MODULY_CBA!$B$3:$E$23,4,0)*H239/SUMIFS($H$3:$H$199,$G$3:$G$199,G239,$B$3:$B$199,B239),),)</f>
        <v>0.47540983606557374</v>
      </c>
      <c r="M239" s="379">
        <f>IFERROR(IF(B239="Funkcna poziadavka",VLOOKUP(G239,MODULY_CBA!$B$3:$E$23,3,0),),)</f>
        <v>0.93499999999999994</v>
      </c>
      <c r="N239" s="379">
        <f>IFERROR(IF(B239="funkcna poziadavka",VLOOKUP(G239,MODULY_CBA!$B$3:$E$23,2,0),),)</f>
        <v>1.18</v>
      </c>
      <c r="O239" s="378">
        <f t="shared" si="17"/>
        <v>17.074019672131147</v>
      </c>
      <c r="P239" s="377">
        <f>IFERROR(O239*VLOOKUP(G239,MODULY_CBA!$B$3:$F$23,5,0),)</f>
        <v>512.22059016393439</v>
      </c>
      <c r="Q239" s="478" t="str">
        <f>IFERROR(VLOOKUP(G239,MODULY_CBA!$B$3:$I$23,6,0),"")</f>
        <v>Inkrement 3</v>
      </c>
      <c r="R239" s="382"/>
      <c r="S239" s="382"/>
      <c r="T239" s="382"/>
      <c r="U239" s="382"/>
      <c r="V239" s="382"/>
      <c r="W239" s="382"/>
      <c r="X239" s="382"/>
      <c r="Y239" s="382"/>
      <c r="Z239" s="382"/>
      <c r="AA239" s="382"/>
      <c r="AB239" s="382"/>
      <c r="AC239" s="382"/>
      <c r="AD239" s="382"/>
      <c r="AE239" s="382"/>
      <c r="AF239" s="374"/>
    </row>
    <row r="240" spans="1:32">
      <c r="A240" s="401">
        <v>238</v>
      </c>
      <c r="B240" s="401" t="s">
        <v>475</v>
      </c>
      <c r="C240" s="530" t="s">
        <v>613</v>
      </c>
      <c r="D240" s="530" t="s">
        <v>715</v>
      </c>
      <c r="E240" s="530"/>
      <c r="F240" s="389" t="s">
        <v>8</v>
      </c>
      <c r="G240" s="380" t="s">
        <v>262</v>
      </c>
      <c r="H240" s="379">
        <v>1</v>
      </c>
      <c r="I240" s="379">
        <v>15</v>
      </c>
      <c r="J240" s="379">
        <f t="shared" si="15"/>
        <v>1</v>
      </c>
      <c r="K240" s="379">
        <f t="shared" si="16"/>
        <v>15</v>
      </c>
      <c r="L240" s="643">
        <f>IFERROR(IF(B240="funkcna poziadavka",VLOOKUP(G240,MODULY_CBA!$B$3:$E$23,4,0)*H240/SUMIFS($H$3:$H$199,$G$3:$G$199,G240,$B$3:$B$199,B240),),)</f>
        <v>0.47540983606557374</v>
      </c>
      <c r="M240" s="379">
        <f>IFERROR(IF(B240="Funkcna poziadavka",VLOOKUP(G240,MODULY_CBA!$B$3:$E$23,3,0),),)</f>
        <v>0.93499999999999994</v>
      </c>
      <c r="N240" s="379">
        <f>IFERROR(IF(B240="funkcna poziadavka",VLOOKUP(G240,MODULY_CBA!$B$3:$E$23,2,0),),)</f>
        <v>1.18</v>
      </c>
      <c r="O240" s="378">
        <f t="shared" si="17"/>
        <v>17.074019672131147</v>
      </c>
      <c r="P240" s="377">
        <f>IFERROR(O240*VLOOKUP(G240,MODULY_CBA!$B$3:$F$23,5,0),)</f>
        <v>512.22059016393439</v>
      </c>
      <c r="Q240" s="478" t="str">
        <f>IFERROR(VLOOKUP(G240,MODULY_CBA!$B$3:$I$23,6,0),"")</f>
        <v>Inkrement 3</v>
      </c>
      <c r="R240" s="382"/>
      <c r="S240" s="382"/>
      <c r="T240" s="382"/>
      <c r="U240" s="382"/>
      <c r="V240" s="382"/>
      <c r="W240" s="382"/>
      <c r="X240" s="382"/>
      <c r="Y240" s="382"/>
      <c r="Z240" s="382"/>
      <c r="AA240" s="382"/>
      <c r="AB240" s="382"/>
      <c r="AC240" s="382"/>
      <c r="AD240" s="382"/>
      <c r="AE240" s="382"/>
      <c r="AF240" s="374"/>
    </row>
    <row r="241" spans="1:32" ht="25.5">
      <c r="A241" s="401">
        <v>239</v>
      </c>
      <c r="B241" s="401" t="s">
        <v>475</v>
      </c>
      <c r="C241" s="530" t="s">
        <v>613</v>
      </c>
      <c r="D241" s="530" t="s">
        <v>716</v>
      </c>
      <c r="E241" s="530"/>
      <c r="F241" s="389" t="s">
        <v>8</v>
      </c>
      <c r="G241" s="380" t="s">
        <v>262</v>
      </c>
      <c r="H241" s="379">
        <v>1</v>
      </c>
      <c r="I241" s="379">
        <v>15</v>
      </c>
      <c r="J241" s="379">
        <f t="shared" si="15"/>
        <v>1</v>
      </c>
      <c r="K241" s="379">
        <f t="shared" si="16"/>
        <v>15</v>
      </c>
      <c r="L241" s="643">
        <f>IFERROR(IF(B241="funkcna poziadavka",VLOOKUP(G241,MODULY_CBA!$B$3:$E$23,4,0)*H241/SUMIFS($H$3:$H$199,$G$3:$G$199,G241,$B$3:$B$199,B241),),)</f>
        <v>0.47540983606557374</v>
      </c>
      <c r="M241" s="379">
        <f>IFERROR(IF(B241="Funkcna poziadavka",VLOOKUP(G241,MODULY_CBA!$B$3:$E$23,3,0),),)</f>
        <v>0.93499999999999994</v>
      </c>
      <c r="N241" s="379">
        <f>IFERROR(IF(B241="funkcna poziadavka",VLOOKUP(G241,MODULY_CBA!$B$3:$E$23,2,0),),)</f>
        <v>1.18</v>
      </c>
      <c r="O241" s="378">
        <f t="shared" si="17"/>
        <v>17.074019672131147</v>
      </c>
      <c r="P241" s="377">
        <f>IFERROR(O241*VLOOKUP(G241,MODULY_CBA!$B$3:$F$23,5,0),)</f>
        <v>512.22059016393439</v>
      </c>
      <c r="Q241" s="478" t="str">
        <f>IFERROR(VLOOKUP(G241,MODULY_CBA!$B$3:$I$23,6,0),"")</f>
        <v>Inkrement 3</v>
      </c>
      <c r="R241" s="382"/>
      <c r="S241" s="382"/>
      <c r="T241" s="382"/>
      <c r="U241" s="382"/>
      <c r="V241" s="382"/>
      <c r="W241" s="382"/>
      <c r="X241" s="382"/>
      <c r="Y241" s="382"/>
      <c r="Z241" s="382"/>
      <c r="AA241" s="382"/>
      <c r="AB241" s="382"/>
      <c r="AC241" s="382"/>
      <c r="AD241" s="382"/>
      <c r="AE241" s="382"/>
      <c r="AF241" s="374"/>
    </row>
    <row r="242" spans="1:32">
      <c r="A242" s="401">
        <v>240</v>
      </c>
      <c r="B242" s="401" t="s">
        <v>475</v>
      </c>
      <c r="C242" s="530" t="s">
        <v>613</v>
      </c>
      <c r="D242" s="530" t="s">
        <v>717</v>
      </c>
      <c r="E242" s="530"/>
      <c r="F242" s="389" t="s">
        <v>8</v>
      </c>
      <c r="G242" s="380" t="s">
        <v>262</v>
      </c>
      <c r="H242" s="379">
        <v>1</v>
      </c>
      <c r="I242" s="379">
        <v>15</v>
      </c>
      <c r="J242" s="379">
        <f t="shared" si="15"/>
        <v>1</v>
      </c>
      <c r="K242" s="379">
        <f t="shared" si="16"/>
        <v>15</v>
      </c>
      <c r="L242" s="643">
        <f>IFERROR(IF(B242="funkcna poziadavka",VLOOKUP(G242,MODULY_CBA!$B$3:$E$23,4,0)*H242/SUMIFS($H$3:$H$199,$G$3:$G$199,G242,$B$3:$B$199,B242),),)</f>
        <v>0.47540983606557374</v>
      </c>
      <c r="M242" s="379">
        <f>IFERROR(IF(B242="Funkcna poziadavka",VLOOKUP(G242,MODULY_CBA!$B$3:$E$23,3,0),),)</f>
        <v>0.93499999999999994</v>
      </c>
      <c r="N242" s="379">
        <f>IFERROR(IF(B242="funkcna poziadavka",VLOOKUP(G242,MODULY_CBA!$B$3:$E$23,2,0),),)</f>
        <v>1.18</v>
      </c>
      <c r="O242" s="378">
        <f t="shared" si="17"/>
        <v>17.074019672131147</v>
      </c>
      <c r="P242" s="377">
        <f>IFERROR(O242*VLOOKUP(G242,MODULY_CBA!$B$3:$F$23,5,0),)</f>
        <v>512.22059016393439</v>
      </c>
      <c r="Q242" s="478" t="str">
        <f>IFERROR(VLOOKUP(G242,MODULY_CBA!$B$3:$I$23,6,0),"")</f>
        <v>Inkrement 3</v>
      </c>
      <c r="R242" s="382"/>
      <c r="S242" s="382"/>
      <c r="T242" s="382"/>
      <c r="U242" s="382"/>
      <c r="V242" s="382"/>
      <c r="W242" s="382"/>
      <c r="X242" s="382"/>
      <c r="Y242" s="382"/>
      <c r="Z242" s="382"/>
      <c r="AA242" s="382"/>
      <c r="AB242" s="382"/>
      <c r="AC242" s="382"/>
      <c r="AD242" s="382"/>
      <c r="AE242" s="382"/>
      <c r="AF242" s="374"/>
    </row>
    <row r="243" spans="1:32">
      <c r="A243" s="401">
        <v>241</v>
      </c>
      <c r="B243" s="401" t="s">
        <v>475</v>
      </c>
      <c r="C243" s="530" t="s">
        <v>613</v>
      </c>
      <c r="D243" s="530" t="s">
        <v>718</v>
      </c>
      <c r="E243" s="530"/>
      <c r="F243" s="389" t="s">
        <v>8</v>
      </c>
      <c r="G243" s="380" t="s">
        <v>262</v>
      </c>
      <c r="H243" s="379">
        <v>1</v>
      </c>
      <c r="I243" s="379">
        <v>15</v>
      </c>
      <c r="J243" s="379">
        <f t="shared" si="15"/>
        <v>1</v>
      </c>
      <c r="K243" s="379">
        <f t="shared" si="16"/>
        <v>15</v>
      </c>
      <c r="L243" s="643">
        <f>IFERROR(IF(B243="funkcna poziadavka",VLOOKUP(G243,MODULY_CBA!$B$3:$E$23,4,0)*H243/SUMIFS($H$3:$H$199,$G$3:$G$199,G243,$B$3:$B$199,B243),),)</f>
        <v>0.47540983606557374</v>
      </c>
      <c r="M243" s="379">
        <f>IFERROR(IF(B243="Funkcna poziadavka",VLOOKUP(G243,MODULY_CBA!$B$3:$E$23,3,0),),)</f>
        <v>0.93499999999999994</v>
      </c>
      <c r="N243" s="379">
        <f>IFERROR(IF(B243="funkcna poziadavka",VLOOKUP(G243,MODULY_CBA!$B$3:$E$23,2,0),),)</f>
        <v>1.18</v>
      </c>
      <c r="O243" s="378">
        <f t="shared" si="17"/>
        <v>17.074019672131147</v>
      </c>
      <c r="P243" s="377">
        <f>IFERROR(O243*VLOOKUP(G243,MODULY_CBA!$B$3:$F$23,5,0),)</f>
        <v>512.22059016393439</v>
      </c>
      <c r="Q243" s="478" t="str">
        <f>IFERROR(VLOOKUP(G243,MODULY_CBA!$B$3:$I$23,6,0),"")</f>
        <v>Inkrement 3</v>
      </c>
      <c r="R243" s="382"/>
      <c r="S243" s="382"/>
      <c r="T243" s="382"/>
      <c r="U243" s="382"/>
      <c r="V243" s="382"/>
      <c r="W243" s="382"/>
      <c r="X243" s="382"/>
      <c r="Y243" s="382"/>
      <c r="Z243" s="382"/>
      <c r="AA243" s="382"/>
      <c r="AB243" s="382"/>
      <c r="AC243" s="382"/>
      <c r="AD243" s="382"/>
      <c r="AE243" s="382"/>
      <c r="AF243" s="374"/>
    </row>
    <row r="244" spans="1:32">
      <c r="A244" s="401">
        <v>242</v>
      </c>
      <c r="B244" s="401" t="s">
        <v>475</v>
      </c>
      <c r="C244" s="530" t="s">
        <v>613</v>
      </c>
      <c r="D244" s="530" t="s">
        <v>719</v>
      </c>
      <c r="E244" s="530"/>
      <c r="F244" s="389" t="s">
        <v>8</v>
      </c>
      <c r="G244" s="380" t="s">
        <v>262</v>
      </c>
      <c r="H244" s="379">
        <v>1</v>
      </c>
      <c r="I244" s="379">
        <v>15</v>
      </c>
      <c r="J244" s="379">
        <f t="shared" si="15"/>
        <v>1</v>
      </c>
      <c r="K244" s="379">
        <f t="shared" si="16"/>
        <v>15</v>
      </c>
      <c r="L244" s="643">
        <f>IFERROR(IF(B244="funkcna poziadavka",VLOOKUP(G244,MODULY_CBA!$B$3:$E$23,4,0)*H244/SUMIFS($H$3:$H$199,$G$3:$G$199,G244,$B$3:$B$199,B244),),)</f>
        <v>0.47540983606557374</v>
      </c>
      <c r="M244" s="379">
        <f>IFERROR(IF(B244="Funkcna poziadavka",VLOOKUP(G244,MODULY_CBA!$B$3:$E$23,3,0),),)</f>
        <v>0.93499999999999994</v>
      </c>
      <c r="N244" s="379">
        <f>IFERROR(IF(B244="funkcna poziadavka",VLOOKUP(G244,MODULY_CBA!$B$3:$E$23,2,0),),)</f>
        <v>1.18</v>
      </c>
      <c r="O244" s="378">
        <f t="shared" si="17"/>
        <v>17.074019672131147</v>
      </c>
      <c r="P244" s="377">
        <f>IFERROR(O244*VLOOKUP(G244,MODULY_CBA!$B$3:$F$23,5,0),)</f>
        <v>512.22059016393439</v>
      </c>
      <c r="Q244" s="478" t="str">
        <f>IFERROR(VLOOKUP(G244,MODULY_CBA!$B$3:$I$23,6,0),"")</f>
        <v>Inkrement 3</v>
      </c>
      <c r="R244" s="382"/>
      <c r="S244" s="382"/>
      <c r="T244" s="382"/>
      <c r="U244" s="382"/>
      <c r="V244" s="382"/>
      <c r="W244" s="382"/>
      <c r="X244" s="382"/>
      <c r="Y244" s="382"/>
      <c r="Z244" s="382"/>
      <c r="AA244" s="382"/>
      <c r="AB244" s="382"/>
      <c r="AC244" s="382"/>
      <c r="AD244" s="382"/>
      <c r="AE244" s="382"/>
      <c r="AF244" s="374"/>
    </row>
    <row r="245" spans="1:32">
      <c r="A245" s="401">
        <v>243</v>
      </c>
      <c r="B245" s="401" t="s">
        <v>475</v>
      </c>
      <c r="C245" s="530" t="s">
        <v>613</v>
      </c>
      <c r="D245" s="530" t="s">
        <v>720</v>
      </c>
      <c r="E245" s="530"/>
      <c r="F245" s="389" t="s">
        <v>8</v>
      </c>
      <c r="G245" s="380" t="s">
        <v>262</v>
      </c>
      <c r="H245" s="379">
        <v>1</v>
      </c>
      <c r="I245" s="379">
        <v>15</v>
      </c>
      <c r="J245" s="379">
        <f t="shared" si="15"/>
        <v>1</v>
      </c>
      <c r="K245" s="379">
        <f t="shared" si="16"/>
        <v>15</v>
      </c>
      <c r="L245" s="643">
        <f>IFERROR(IF(B245="funkcna poziadavka",VLOOKUP(G245,MODULY_CBA!$B$3:$E$23,4,0)*H245/SUMIFS($H$3:$H$199,$G$3:$G$199,G245,$B$3:$B$199,B245),),)</f>
        <v>0.47540983606557374</v>
      </c>
      <c r="M245" s="379">
        <f>IFERROR(IF(B245="Funkcna poziadavka",VLOOKUP(G245,MODULY_CBA!$B$3:$E$23,3,0),),)</f>
        <v>0.93499999999999994</v>
      </c>
      <c r="N245" s="379">
        <f>IFERROR(IF(B245="funkcna poziadavka",VLOOKUP(G245,MODULY_CBA!$B$3:$E$23,2,0),),)</f>
        <v>1.18</v>
      </c>
      <c r="O245" s="378">
        <f t="shared" si="17"/>
        <v>17.074019672131147</v>
      </c>
      <c r="P245" s="377">
        <f>IFERROR(O245*VLOOKUP(G245,MODULY_CBA!$B$3:$F$23,5,0),)</f>
        <v>512.22059016393439</v>
      </c>
      <c r="Q245" s="478" t="str">
        <f>IFERROR(VLOOKUP(G245,MODULY_CBA!$B$3:$I$23,6,0),"")</f>
        <v>Inkrement 3</v>
      </c>
      <c r="R245" s="382"/>
      <c r="S245" s="382"/>
      <c r="T245" s="382"/>
      <c r="U245" s="382"/>
      <c r="V245" s="382"/>
      <c r="W245" s="382"/>
      <c r="X245" s="382"/>
      <c r="Y245" s="382"/>
      <c r="Z245" s="382"/>
      <c r="AA245" s="382"/>
      <c r="AB245" s="382"/>
      <c r="AC245" s="382"/>
      <c r="AD245" s="382"/>
      <c r="AE245" s="382"/>
      <c r="AF245" s="374"/>
    </row>
    <row r="246" spans="1:32">
      <c r="A246" s="401">
        <v>244</v>
      </c>
      <c r="B246" s="401" t="s">
        <v>475</v>
      </c>
      <c r="C246" s="530" t="s">
        <v>613</v>
      </c>
      <c r="D246" s="530" t="s">
        <v>721</v>
      </c>
      <c r="E246" s="530"/>
      <c r="F246" s="389" t="s">
        <v>8</v>
      </c>
      <c r="G246" s="380" t="s">
        <v>262</v>
      </c>
      <c r="H246" s="379">
        <v>1</v>
      </c>
      <c r="I246" s="379">
        <v>15</v>
      </c>
      <c r="J246" s="379">
        <f t="shared" si="15"/>
        <v>1</v>
      </c>
      <c r="K246" s="379">
        <f t="shared" si="16"/>
        <v>15</v>
      </c>
      <c r="L246" s="643">
        <f>IFERROR(IF(B246="funkcna poziadavka",VLOOKUP(G246,MODULY_CBA!$B$3:$E$23,4,0)*H246/SUMIFS($H$3:$H$199,$G$3:$G$199,G246,$B$3:$B$199,B246),),)</f>
        <v>0.47540983606557374</v>
      </c>
      <c r="M246" s="379">
        <f>IFERROR(IF(B246="Funkcna poziadavka",VLOOKUP(G246,MODULY_CBA!$B$3:$E$23,3,0),),)</f>
        <v>0.93499999999999994</v>
      </c>
      <c r="N246" s="379">
        <f>IFERROR(IF(B246="funkcna poziadavka",VLOOKUP(G246,MODULY_CBA!$B$3:$E$23,2,0),),)</f>
        <v>1.18</v>
      </c>
      <c r="O246" s="378">
        <f t="shared" si="17"/>
        <v>17.074019672131147</v>
      </c>
      <c r="P246" s="377">
        <f>IFERROR(O246*VLOOKUP(G246,MODULY_CBA!$B$3:$F$23,5,0),)</f>
        <v>512.22059016393439</v>
      </c>
      <c r="Q246" s="478" t="str">
        <f>IFERROR(VLOOKUP(G246,MODULY_CBA!$B$3:$I$23,6,0),"")</f>
        <v>Inkrement 3</v>
      </c>
      <c r="R246" s="382"/>
      <c r="S246" s="382"/>
      <c r="T246" s="382"/>
      <c r="U246" s="382"/>
      <c r="V246" s="382"/>
      <c r="W246" s="382"/>
      <c r="X246" s="382"/>
      <c r="Y246" s="382"/>
      <c r="Z246" s="382"/>
      <c r="AA246" s="382"/>
      <c r="AB246" s="382"/>
      <c r="AC246" s="382"/>
      <c r="AD246" s="382"/>
      <c r="AE246" s="382"/>
      <c r="AF246" s="374"/>
    </row>
    <row r="247" spans="1:32">
      <c r="A247" s="401">
        <v>245</v>
      </c>
      <c r="B247" s="401" t="s">
        <v>475</v>
      </c>
      <c r="C247" s="530" t="s">
        <v>613</v>
      </c>
      <c r="D247" s="530" t="s">
        <v>722</v>
      </c>
      <c r="E247" s="530"/>
      <c r="F247" s="389" t="s">
        <v>8</v>
      </c>
      <c r="G247" s="380" t="s">
        <v>262</v>
      </c>
      <c r="H247" s="379">
        <v>1</v>
      </c>
      <c r="I247" s="379">
        <v>15</v>
      </c>
      <c r="J247" s="379">
        <f t="shared" si="15"/>
        <v>1</v>
      </c>
      <c r="K247" s="379">
        <f t="shared" si="16"/>
        <v>15</v>
      </c>
      <c r="L247" s="643">
        <f>IFERROR(IF(B247="funkcna poziadavka",VLOOKUP(G247,MODULY_CBA!$B$3:$E$23,4,0)*H247/SUMIFS($H$3:$H$199,$G$3:$G$199,G247,$B$3:$B$199,B247),),)</f>
        <v>0.47540983606557374</v>
      </c>
      <c r="M247" s="379">
        <f>IFERROR(IF(B247="Funkcna poziadavka",VLOOKUP(G247,MODULY_CBA!$B$3:$E$23,3,0),),)</f>
        <v>0.93499999999999994</v>
      </c>
      <c r="N247" s="379">
        <f>IFERROR(IF(B247="funkcna poziadavka",VLOOKUP(G247,MODULY_CBA!$B$3:$E$23,2,0),),)</f>
        <v>1.18</v>
      </c>
      <c r="O247" s="378">
        <f t="shared" si="17"/>
        <v>17.074019672131147</v>
      </c>
      <c r="P247" s="377">
        <f>IFERROR(O247*VLOOKUP(G247,MODULY_CBA!$B$3:$F$23,5,0),)</f>
        <v>512.22059016393439</v>
      </c>
      <c r="Q247" s="478" t="str">
        <f>IFERROR(VLOOKUP(G247,MODULY_CBA!$B$3:$I$23,6,0),"")</f>
        <v>Inkrement 3</v>
      </c>
      <c r="R247" s="382"/>
      <c r="S247" s="382"/>
      <c r="T247" s="382"/>
      <c r="U247" s="382"/>
      <c r="V247" s="382"/>
      <c r="W247" s="382"/>
      <c r="X247" s="382"/>
      <c r="Y247" s="382"/>
      <c r="Z247" s="382"/>
      <c r="AA247" s="382"/>
      <c r="AB247" s="382"/>
      <c r="AC247" s="382"/>
      <c r="AD247" s="382"/>
      <c r="AE247" s="382"/>
      <c r="AF247" s="374"/>
    </row>
    <row r="248" spans="1:32" ht="25.5">
      <c r="A248" s="401">
        <v>246</v>
      </c>
      <c r="B248" s="401" t="s">
        <v>475</v>
      </c>
      <c r="C248" s="530" t="s">
        <v>613</v>
      </c>
      <c r="D248" s="530" t="s">
        <v>723</v>
      </c>
      <c r="E248" s="530"/>
      <c r="F248" s="389" t="s">
        <v>8</v>
      </c>
      <c r="G248" s="380" t="s">
        <v>262</v>
      </c>
      <c r="H248" s="379">
        <v>1</v>
      </c>
      <c r="I248" s="379">
        <v>15</v>
      </c>
      <c r="J248" s="379">
        <f t="shared" si="15"/>
        <v>1</v>
      </c>
      <c r="K248" s="379">
        <f t="shared" si="16"/>
        <v>15</v>
      </c>
      <c r="L248" s="643">
        <f>IFERROR(IF(B248="funkcna poziadavka",VLOOKUP(G248,MODULY_CBA!$B$3:$E$23,4,0)*H248/SUMIFS($H$3:$H$199,$G$3:$G$199,G248,$B$3:$B$199,B248),),)</f>
        <v>0.47540983606557374</v>
      </c>
      <c r="M248" s="379">
        <f>IFERROR(IF(B248="Funkcna poziadavka",VLOOKUP(G248,MODULY_CBA!$B$3:$E$23,3,0),),)</f>
        <v>0.93499999999999994</v>
      </c>
      <c r="N248" s="379">
        <f>IFERROR(IF(B248="funkcna poziadavka",VLOOKUP(G248,MODULY_CBA!$B$3:$E$23,2,0),),)</f>
        <v>1.18</v>
      </c>
      <c r="O248" s="378">
        <f t="shared" si="17"/>
        <v>17.074019672131147</v>
      </c>
      <c r="P248" s="377">
        <f>IFERROR(O248*VLOOKUP(G248,MODULY_CBA!$B$3:$F$23,5,0),)</f>
        <v>512.22059016393439</v>
      </c>
      <c r="Q248" s="478" t="str">
        <f>IFERROR(VLOOKUP(G248,MODULY_CBA!$B$3:$I$23,6,0),"")</f>
        <v>Inkrement 3</v>
      </c>
      <c r="R248" s="382"/>
      <c r="S248" s="382"/>
      <c r="T248" s="382"/>
      <c r="U248" s="382"/>
      <c r="V248" s="382"/>
      <c r="W248" s="382"/>
      <c r="X248" s="382"/>
      <c r="Y248" s="382"/>
      <c r="Z248" s="382"/>
      <c r="AA248" s="382"/>
      <c r="AB248" s="382"/>
      <c r="AC248" s="382"/>
      <c r="AD248" s="382"/>
      <c r="AE248" s="382"/>
      <c r="AF248" s="374"/>
    </row>
    <row r="249" spans="1:32">
      <c r="A249" s="401">
        <v>247</v>
      </c>
      <c r="B249" s="401" t="s">
        <v>475</v>
      </c>
      <c r="C249" s="530" t="s">
        <v>613</v>
      </c>
      <c r="D249" s="530" t="s">
        <v>724</v>
      </c>
      <c r="E249" s="530"/>
      <c r="F249" s="389" t="s">
        <v>8</v>
      </c>
      <c r="G249" s="380" t="s">
        <v>262</v>
      </c>
      <c r="H249" s="379">
        <v>1</v>
      </c>
      <c r="I249" s="379">
        <v>15</v>
      </c>
      <c r="J249" s="379">
        <f t="shared" si="15"/>
        <v>1</v>
      </c>
      <c r="K249" s="379">
        <f t="shared" si="16"/>
        <v>15</v>
      </c>
      <c r="L249" s="643">
        <f>IFERROR(IF(B249="funkcna poziadavka",VLOOKUP(G249,MODULY_CBA!$B$3:$E$23,4,0)*H249/SUMIFS($H$3:$H$199,$G$3:$G$199,G249,$B$3:$B$199,B249),),)</f>
        <v>0.47540983606557374</v>
      </c>
      <c r="M249" s="379">
        <f>IFERROR(IF(B249="Funkcna poziadavka",VLOOKUP(G249,MODULY_CBA!$B$3:$E$23,3,0),),)</f>
        <v>0.93499999999999994</v>
      </c>
      <c r="N249" s="379">
        <f>IFERROR(IF(B249="funkcna poziadavka",VLOOKUP(G249,MODULY_CBA!$B$3:$E$23,2,0),),)</f>
        <v>1.18</v>
      </c>
      <c r="O249" s="378">
        <f t="shared" si="17"/>
        <v>17.074019672131147</v>
      </c>
      <c r="P249" s="377">
        <f>IFERROR(O249*VLOOKUP(G249,MODULY_CBA!$B$3:$F$23,5,0),)</f>
        <v>512.22059016393439</v>
      </c>
      <c r="Q249" s="478" t="str">
        <f>IFERROR(VLOOKUP(G249,MODULY_CBA!$B$3:$I$23,6,0),"")</f>
        <v>Inkrement 3</v>
      </c>
      <c r="R249" s="382"/>
      <c r="S249" s="382"/>
      <c r="T249" s="382"/>
      <c r="U249" s="382"/>
      <c r="V249" s="382"/>
      <c r="W249" s="382"/>
      <c r="X249" s="382"/>
      <c r="Y249" s="382"/>
      <c r="Z249" s="382"/>
      <c r="AA249" s="382"/>
      <c r="AB249" s="382"/>
      <c r="AC249" s="382"/>
      <c r="AD249" s="382"/>
      <c r="AE249" s="382"/>
      <c r="AF249" s="374"/>
    </row>
    <row r="250" spans="1:32">
      <c r="A250" s="401">
        <v>248</v>
      </c>
      <c r="B250" s="401" t="s">
        <v>475</v>
      </c>
      <c r="C250" s="530" t="s">
        <v>613</v>
      </c>
      <c r="D250" s="530" t="s">
        <v>725</v>
      </c>
      <c r="E250" s="530"/>
      <c r="F250" s="389" t="s">
        <v>8</v>
      </c>
      <c r="G250" s="380" t="s">
        <v>262</v>
      </c>
      <c r="H250" s="379">
        <v>1</v>
      </c>
      <c r="I250" s="379">
        <v>15</v>
      </c>
      <c r="J250" s="379">
        <f t="shared" si="15"/>
        <v>1</v>
      </c>
      <c r="K250" s="379">
        <f t="shared" si="16"/>
        <v>15</v>
      </c>
      <c r="L250" s="643">
        <f>IFERROR(IF(B250="funkcna poziadavka",VLOOKUP(G250,MODULY_CBA!$B$3:$E$23,4,0)*H250/SUMIFS($H$3:$H$199,$G$3:$G$199,G250,$B$3:$B$199,B250),),)</f>
        <v>0.47540983606557374</v>
      </c>
      <c r="M250" s="379">
        <f>IFERROR(IF(B250="Funkcna poziadavka",VLOOKUP(G250,MODULY_CBA!$B$3:$E$23,3,0),),)</f>
        <v>0.93499999999999994</v>
      </c>
      <c r="N250" s="379">
        <f>IFERROR(IF(B250="funkcna poziadavka",VLOOKUP(G250,MODULY_CBA!$B$3:$E$23,2,0),),)</f>
        <v>1.18</v>
      </c>
      <c r="O250" s="378">
        <f t="shared" si="17"/>
        <v>17.074019672131147</v>
      </c>
      <c r="P250" s="377">
        <f>IFERROR(O250*VLOOKUP(G250,MODULY_CBA!$B$3:$F$23,5,0),)</f>
        <v>512.22059016393439</v>
      </c>
      <c r="Q250" s="478" t="str">
        <f>IFERROR(VLOOKUP(G250,MODULY_CBA!$B$3:$I$23,6,0),"")</f>
        <v>Inkrement 3</v>
      </c>
      <c r="R250" s="382"/>
      <c r="S250" s="382"/>
      <c r="T250" s="382"/>
      <c r="U250" s="382"/>
      <c r="V250" s="382"/>
      <c r="W250" s="382"/>
      <c r="X250" s="382"/>
      <c r="Y250" s="382"/>
      <c r="Z250" s="382"/>
      <c r="AA250" s="382"/>
      <c r="AB250" s="382"/>
      <c r="AC250" s="382"/>
      <c r="AD250" s="382"/>
      <c r="AE250" s="382"/>
      <c r="AF250" s="374"/>
    </row>
    <row r="251" spans="1:32" ht="25.5">
      <c r="A251" s="401">
        <v>249</v>
      </c>
      <c r="B251" s="401" t="s">
        <v>475</v>
      </c>
      <c r="C251" s="530" t="s">
        <v>613</v>
      </c>
      <c r="D251" s="530" t="s">
        <v>726</v>
      </c>
      <c r="E251" s="530"/>
      <c r="F251" s="389" t="s">
        <v>8</v>
      </c>
      <c r="G251" s="380" t="s">
        <v>262</v>
      </c>
      <c r="H251" s="379">
        <v>1</v>
      </c>
      <c r="I251" s="379">
        <v>15</v>
      </c>
      <c r="J251" s="379">
        <f t="shared" si="15"/>
        <v>1</v>
      </c>
      <c r="K251" s="379">
        <f t="shared" si="16"/>
        <v>15</v>
      </c>
      <c r="L251" s="643">
        <f>IFERROR(IF(B251="funkcna poziadavka",VLOOKUP(G251,MODULY_CBA!$B$3:$E$23,4,0)*H251/SUMIFS($H$3:$H$199,$G$3:$G$199,G251,$B$3:$B$199,B251),),)</f>
        <v>0.47540983606557374</v>
      </c>
      <c r="M251" s="379">
        <f>IFERROR(IF(B251="Funkcna poziadavka",VLOOKUP(G251,MODULY_CBA!$B$3:$E$23,3,0),),)</f>
        <v>0.93499999999999994</v>
      </c>
      <c r="N251" s="379">
        <f>IFERROR(IF(B251="funkcna poziadavka",VLOOKUP(G251,MODULY_CBA!$B$3:$E$23,2,0),),)</f>
        <v>1.18</v>
      </c>
      <c r="O251" s="378">
        <f t="shared" si="17"/>
        <v>17.074019672131147</v>
      </c>
      <c r="P251" s="377">
        <f>IFERROR(O251*VLOOKUP(G251,MODULY_CBA!$B$3:$F$23,5,0),)</f>
        <v>512.22059016393439</v>
      </c>
      <c r="Q251" s="478" t="str">
        <f>IFERROR(VLOOKUP(G251,MODULY_CBA!$B$3:$I$23,6,0),"")</f>
        <v>Inkrement 3</v>
      </c>
      <c r="R251" s="382"/>
      <c r="S251" s="382"/>
      <c r="T251" s="382"/>
      <c r="U251" s="382"/>
      <c r="V251" s="382"/>
      <c r="W251" s="382"/>
      <c r="X251" s="382"/>
      <c r="Y251" s="382"/>
      <c r="Z251" s="382"/>
      <c r="AA251" s="382"/>
      <c r="AB251" s="382"/>
      <c r="AC251" s="382"/>
      <c r="AD251" s="382"/>
      <c r="AE251" s="382"/>
      <c r="AF251" s="374"/>
    </row>
    <row r="252" spans="1:32">
      <c r="A252" s="401">
        <v>250</v>
      </c>
      <c r="B252" s="401" t="s">
        <v>475</v>
      </c>
      <c r="C252" s="530" t="s">
        <v>613</v>
      </c>
      <c r="D252" s="530" t="s">
        <v>727</v>
      </c>
      <c r="E252" s="530"/>
      <c r="F252" s="389" t="s">
        <v>8</v>
      </c>
      <c r="G252" s="380" t="s">
        <v>262</v>
      </c>
      <c r="H252" s="379">
        <v>1</v>
      </c>
      <c r="I252" s="379">
        <v>15</v>
      </c>
      <c r="J252" s="379">
        <f t="shared" si="15"/>
        <v>1</v>
      </c>
      <c r="K252" s="379">
        <f t="shared" si="16"/>
        <v>15</v>
      </c>
      <c r="L252" s="643">
        <f>IFERROR(IF(B252="funkcna poziadavka",VLOOKUP(G252,MODULY_CBA!$B$3:$E$23,4,0)*H252/SUMIFS($H$3:$H$199,$G$3:$G$199,G252,$B$3:$B$199,B252),),)</f>
        <v>0.47540983606557374</v>
      </c>
      <c r="M252" s="379">
        <f>IFERROR(IF(B252="Funkcna poziadavka",VLOOKUP(G252,MODULY_CBA!$B$3:$E$23,3,0),),)</f>
        <v>0.93499999999999994</v>
      </c>
      <c r="N252" s="379">
        <f>IFERROR(IF(B252="funkcna poziadavka",VLOOKUP(G252,MODULY_CBA!$B$3:$E$23,2,0),),)</f>
        <v>1.18</v>
      </c>
      <c r="O252" s="378">
        <f t="shared" si="17"/>
        <v>17.074019672131147</v>
      </c>
      <c r="P252" s="377">
        <f>IFERROR(O252*VLOOKUP(G252,MODULY_CBA!$B$3:$F$23,5,0),)</f>
        <v>512.22059016393439</v>
      </c>
      <c r="Q252" s="478" t="str">
        <f>IFERROR(VLOOKUP(G252,MODULY_CBA!$B$3:$I$23,6,0),"")</f>
        <v>Inkrement 3</v>
      </c>
      <c r="R252" s="382"/>
      <c r="S252" s="382"/>
      <c r="T252" s="382"/>
      <c r="U252" s="382"/>
      <c r="V252" s="382"/>
      <c r="W252" s="382"/>
      <c r="X252" s="382"/>
      <c r="Y252" s="382"/>
      <c r="Z252" s="382"/>
      <c r="AA252" s="382"/>
      <c r="AB252" s="382"/>
      <c r="AC252" s="382"/>
      <c r="AD252" s="382"/>
      <c r="AE252" s="382"/>
      <c r="AF252" s="374"/>
    </row>
    <row r="253" spans="1:32">
      <c r="A253" s="401">
        <v>251</v>
      </c>
      <c r="B253" s="401" t="s">
        <v>475</v>
      </c>
      <c r="C253" s="530" t="s">
        <v>613</v>
      </c>
      <c r="D253" s="530" t="s">
        <v>728</v>
      </c>
      <c r="E253" s="530"/>
      <c r="F253" s="389" t="s">
        <v>8</v>
      </c>
      <c r="G253" s="380" t="s">
        <v>262</v>
      </c>
      <c r="H253" s="379">
        <v>1</v>
      </c>
      <c r="I253" s="379">
        <v>15</v>
      </c>
      <c r="J253" s="379">
        <f t="shared" si="15"/>
        <v>1</v>
      </c>
      <c r="K253" s="379">
        <f t="shared" si="16"/>
        <v>15</v>
      </c>
      <c r="L253" s="643">
        <f>IFERROR(IF(B253="funkcna poziadavka",VLOOKUP(G253,MODULY_CBA!$B$3:$E$23,4,0)*H253/SUMIFS($H$3:$H$199,$G$3:$G$199,G253,$B$3:$B$199,B253),),)</f>
        <v>0.47540983606557374</v>
      </c>
      <c r="M253" s="379">
        <f>IFERROR(IF(B253="Funkcna poziadavka",VLOOKUP(G253,MODULY_CBA!$B$3:$E$23,3,0),),)</f>
        <v>0.93499999999999994</v>
      </c>
      <c r="N253" s="379">
        <f>IFERROR(IF(B253="funkcna poziadavka",VLOOKUP(G253,MODULY_CBA!$B$3:$E$23,2,0),),)</f>
        <v>1.18</v>
      </c>
      <c r="O253" s="378">
        <f t="shared" si="17"/>
        <v>17.074019672131147</v>
      </c>
      <c r="P253" s="377">
        <f>IFERROR(O253*VLOOKUP(G253,MODULY_CBA!$B$3:$F$23,5,0),)</f>
        <v>512.22059016393439</v>
      </c>
      <c r="Q253" s="478" t="str">
        <f>IFERROR(VLOOKUP(G253,MODULY_CBA!$B$3:$I$23,6,0),"")</f>
        <v>Inkrement 3</v>
      </c>
      <c r="R253" s="382"/>
      <c r="S253" s="382"/>
      <c r="T253" s="382"/>
      <c r="U253" s="382"/>
      <c r="V253" s="382"/>
      <c r="W253" s="382"/>
      <c r="X253" s="382"/>
      <c r="Y253" s="382"/>
      <c r="Z253" s="382"/>
      <c r="AA253" s="382"/>
      <c r="AB253" s="382"/>
      <c r="AC253" s="382"/>
      <c r="AD253" s="382"/>
      <c r="AE253" s="382"/>
      <c r="AF253" s="374"/>
    </row>
    <row r="254" spans="1:32">
      <c r="A254" s="401">
        <v>252</v>
      </c>
      <c r="B254" s="401" t="s">
        <v>475</v>
      </c>
      <c r="C254" s="530" t="s">
        <v>613</v>
      </c>
      <c r="D254" s="530" t="s">
        <v>729</v>
      </c>
      <c r="E254" s="530"/>
      <c r="F254" s="389" t="s">
        <v>8</v>
      </c>
      <c r="G254" s="380" t="s">
        <v>262</v>
      </c>
      <c r="H254" s="379">
        <v>1</v>
      </c>
      <c r="I254" s="379">
        <v>15</v>
      </c>
      <c r="J254" s="379">
        <f t="shared" si="15"/>
        <v>1</v>
      </c>
      <c r="K254" s="379">
        <f t="shared" si="16"/>
        <v>15</v>
      </c>
      <c r="L254" s="643">
        <f>IFERROR(IF(B254="funkcna poziadavka",VLOOKUP(G254,MODULY_CBA!$B$3:$E$23,4,0)*H254/SUMIFS($H$3:$H$199,$G$3:$G$199,G254,$B$3:$B$199,B254),),)</f>
        <v>0.47540983606557374</v>
      </c>
      <c r="M254" s="379">
        <f>IFERROR(IF(B254="Funkcna poziadavka",VLOOKUP(G254,MODULY_CBA!$B$3:$E$23,3,0),),)</f>
        <v>0.93499999999999994</v>
      </c>
      <c r="N254" s="379">
        <f>IFERROR(IF(B254="funkcna poziadavka",VLOOKUP(G254,MODULY_CBA!$B$3:$E$23,2,0),),)</f>
        <v>1.18</v>
      </c>
      <c r="O254" s="378">
        <f t="shared" si="17"/>
        <v>17.074019672131147</v>
      </c>
      <c r="P254" s="377">
        <f>IFERROR(O254*VLOOKUP(G254,MODULY_CBA!$B$3:$F$23,5,0),)</f>
        <v>512.22059016393439</v>
      </c>
      <c r="Q254" s="478" t="str">
        <f>IFERROR(VLOOKUP(G254,MODULY_CBA!$B$3:$I$23,6,0),"")</f>
        <v>Inkrement 3</v>
      </c>
      <c r="R254" s="382"/>
      <c r="S254" s="382"/>
      <c r="T254" s="382"/>
      <c r="U254" s="382"/>
      <c r="V254" s="382"/>
      <c r="W254" s="382"/>
      <c r="X254" s="382"/>
      <c r="Y254" s="382"/>
      <c r="Z254" s="382"/>
      <c r="AA254" s="382"/>
      <c r="AB254" s="382"/>
      <c r="AC254" s="382"/>
      <c r="AD254" s="382"/>
      <c r="AE254" s="382"/>
      <c r="AF254" s="374"/>
    </row>
    <row r="255" spans="1:32">
      <c r="A255" s="401">
        <v>253</v>
      </c>
      <c r="B255" s="401" t="s">
        <v>475</v>
      </c>
      <c r="C255" s="530" t="s">
        <v>613</v>
      </c>
      <c r="D255" s="530" t="s">
        <v>730</v>
      </c>
      <c r="E255" s="530"/>
      <c r="F255" s="389" t="s">
        <v>8</v>
      </c>
      <c r="G255" s="380" t="s">
        <v>262</v>
      </c>
      <c r="H255" s="379">
        <v>1</v>
      </c>
      <c r="I255" s="379">
        <v>15</v>
      </c>
      <c r="J255" s="379">
        <f t="shared" si="15"/>
        <v>1</v>
      </c>
      <c r="K255" s="379">
        <f t="shared" si="16"/>
        <v>15</v>
      </c>
      <c r="L255" s="643">
        <f>IFERROR(IF(B255="funkcna poziadavka",VLOOKUP(G255,MODULY_CBA!$B$3:$E$23,4,0)*H255/SUMIFS($H$3:$H$199,$G$3:$G$199,G255,$B$3:$B$199,B255),),)</f>
        <v>0.47540983606557374</v>
      </c>
      <c r="M255" s="379">
        <f>IFERROR(IF(B255="Funkcna poziadavka",VLOOKUP(G255,MODULY_CBA!$B$3:$E$23,3,0),),)</f>
        <v>0.93499999999999994</v>
      </c>
      <c r="N255" s="379">
        <f>IFERROR(IF(B255="funkcna poziadavka",VLOOKUP(G255,MODULY_CBA!$B$3:$E$23,2,0),),)</f>
        <v>1.18</v>
      </c>
      <c r="O255" s="378">
        <f t="shared" si="17"/>
        <v>17.074019672131147</v>
      </c>
      <c r="P255" s="377">
        <f>IFERROR(O255*VLOOKUP(G255,MODULY_CBA!$B$3:$F$23,5,0),)</f>
        <v>512.22059016393439</v>
      </c>
      <c r="Q255" s="478" t="str">
        <f>IFERROR(VLOOKUP(G255,MODULY_CBA!$B$3:$I$23,6,0),"")</f>
        <v>Inkrement 3</v>
      </c>
      <c r="R255" s="382"/>
      <c r="S255" s="382"/>
      <c r="T255" s="382"/>
      <c r="U255" s="382"/>
      <c r="V255" s="382"/>
      <c r="W255" s="382"/>
      <c r="X255" s="382"/>
      <c r="Y255" s="382"/>
      <c r="Z255" s="382"/>
      <c r="AA255" s="382"/>
      <c r="AB255" s="382"/>
      <c r="AC255" s="382"/>
      <c r="AD255" s="382"/>
      <c r="AE255" s="382"/>
      <c r="AF255" s="374"/>
    </row>
    <row r="256" spans="1:32">
      <c r="A256" s="401">
        <v>254</v>
      </c>
      <c r="B256" s="401" t="s">
        <v>475</v>
      </c>
      <c r="C256" s="530" t="s">
        <v>613</v>
      </c>
      <c r="D256" s="530" t="s">
        <v>731</v>
      </c>
      <c r="E256" s="530"/>
      <c r="F256" s="389" t="s">
        <v>8</v>
      </c>
      <c r="G256" s="380" t="s">
        <v>262</v>
      </c>
      <c r="H256" s="379">
        <v>1</v>
      </c>
      <c r="I256" s="379">
        <v>15</v>
      </c>
      <c r="J256" s="379">
        <f t="shared" si="15"/>
        <v>1</v>
      </c>
      <c r="K256" s="379">
        <f t="shared" si="16"/>
        <v>15</v>
      </c>
      <c r="L256" s="643">
        <f>IFERROR(IF(B256="funkcna poziadavka",VLOOKUP(G256,MODULY_CBA!$B$3:$E$23,4,0)*H256/SUMIFS($H$3:$H$199,$G$3:$G$199,G256,$B$3:$B$199,B256),),)</f>
        <v>0.47540983606557374</v>
      </c>
      <c r="M256" s="379">
        <f>IFERROR(IF(B256="Funkcna poziadavka",VLOOKUP(G256,MODULY_CBA!$B$3:$E$23,3,0),),)</f>
        <v>0.93499999999999994</v>
      </c>
      <c r="N256" s="379">
        <f>IFERROR(IF(B256="funkcna poziadavka",VLOOKUP(G256,MODULY_CBA!$B$3:$E$23,2,0),),)</f>
        <v>1.18</v>
      </c>
      <c r="O256" s="378">
        <f t="shared" si="17"/>
        <v>17.074019672131147</v>
      </c>
      <c r="P256" s="377">
        <f>IFERROR(O256*VLOOKUP(G256,MODULY_CBA!$B$3:$F$23,5,0),)</f>
        <v>512.22059016393439</v>
      </c>
      <c r="Q256" s="478" t="str">
        <f>IFERROR(VLOOKUP(G256,MODULY_CBA!$B$3:$I$23,6,0),"")</f>
        <v>Inkrement 3</v>
      </c>
      <c r="R256" s="382"/>
      <c r="S256" s="382"/>
      <c r="T256" s="382"/>
      <c r="U256" s="382"/>
      <c r="V256" s="382"/>
      <c r="W256" s="382"/>
      <c r="X256" s="382"/>
      <c r="Y256" s="382"/>
      <c r="Z256" s="382"/>
      <c r="AA256" s="382"/>
      <c r="AB256" s="382"/>
      <c r="AC256" s="382"/>
      <c r="AD256" s="382"/>
      <c r="AE256" s="382"/>
      <c r="AF256" s="374"/>
    </row>
    <row r="257" spans="1:32">
      <c r="A257" s="401">
        <v>255</v>
      </c>
      <c r="B257" s="401" t="s">
        <v>475</v>
      </c>
      <c r="C257" s="530" t="s">
        <v>613</v>
      </c>
      <c r="D257" s="530" t="s">
        <v>732</v>
      </c>
      <c r="E257" s="530"/>
      <c r="F257" s="389" t="s">
        <v>8</v>
      </c>
      <c r="G257" s="380" t="s">
        <v>262</v>
      </c>
      <c r="H257" s="379">
        <v>1</v>
      </c>
      <c r="I257" s="379">
        <v>15</v>
      </c>
      <c r="J257" s="379">
        <f t="shared" si="15"/>
        <v>1</v>
      </c>
      <c r="K257" s="379">
        <f t="shared" si="16"/>
        <v>15</v>
      </c>
      <c r="L257" s="643">
        <f>IFERROR(IF(B257="funkcna poziadavka",VLOOKUP(G257,MODULY_CBA!$B$3:$E$23,4,0)*H257/SUMIFS($H$3:$H$199,$G$3:$G$199,G257,$B$3:$B$199,B257),),)</f>
        <v>0.47540983606557374</v>
      </c>
      <c r="M257" s="379">
        <f>IFERROR(IF(B257="Funkcna poziadavka",VLOOKUP(G257,MODULY_CBA!$B$3:$E$23,3,0),),)</f>
        <v>0.93499999999999994</v>
      </c>
      <c r="N257" s="379">
        <f>IFERROR(IF(B257="funkcna poziadavka",VLOOKUP(G257,MODULY_CBA!$B$3:$E$23,2,0),),)</f>
        <v>1.18</v>
      </c>
      <c r="O257" s="378">
        <f t="shared" si="17"/>
        <v>17.074019672131147</v>
      </c>
      <c r="P257" s="377">
        <f>IFERROR(O257*VLOOKUP(G257,MODULY_CBA!$B$3:$F$23,5,0),)</f>
        <v>512.22059016393439</v>
      </c>
      <c r="Q257" s="478" t="str">
        <f>IFERROR(VLOOKUP(G257,MODULY_CBA!$B$3:$I$23,6,0),"")</f>
        <v>Inkrement 3</v>
      </c>
      <c r="R257" s="382"/>
      <c r="S257" s="382"/>
      <c r="T257" s="382"/>
      <c r="U257" s="382"/>
      <c r="V257" s="382"/>
      <c r="W257" s="382"/>
      <c r="X257" s="382"/>
      <c r="Y257" s="382"/>
      <c r="Z257" s="382"/>
      <c r="AA257" s="382"/>
      <c r="AB257" s="382"/>
      <c r="AC257" s="382"/>
      <c r="AD257" s="382"/>
      <c r="AE257" s="382"/>
      <c r="AF257" s="374"/>
    </row>
    <row r="258" spans="1:32">
      <c r="A258" s="401">
        <v>256</v>
      </c>
      <c r="B258" s="401" t="s">
        <v>475</v>
      </c>
      <c r="C258" s="530" t="s">
        <v>613</v>
      </c>
      <c r="D258" s="530" t="s">
        <v>733</v>
      </c>
      <c r="E258" s="530"/>
      <c r="F258" s="389" t="s">
        <v>8</v>
      </c>
      <c r="G258" s="380" t="s">
        <v>262</v>
      </c>
      <c r="H258" s="379">
        <v>1</v>
      </c>
      <c r="I258" s="379">
        <v>15</v>
      </c>
      <c r="J258" s="379">
        <f t="shared" si="15"/>
        <v>1</v>
      </c>
      <c r="K258" s="379">
        <f t="shared" si="16"/>
        <v>15</v>
      </c>
      <c r="L258" s="643">
        <f>IFERROR(IF(B258="funkcna poziadavka",VLOOKUP(G258,MODULY_CBA!$B$3:$E$23,4,0)*H258/SUMIFS($H$3:$H$199,$G$3:$G$199,G258,$B$3:$B$199,B258),),)</f>
        <v>0.47540983606557374</v>
      </c>
      <c r="M258" s="379">
        <f>IFERROR(IF(B258="Funkcna poziadavka",VLOOKUP(G258,MODULY_CBA!$B$3:$E$23,3,0),),)</f>
        <v>0.93499999999999994</v>
      </c>
      <c r="N258" s="379">
        <f>IFERROR(IF(B258="funkcna poziadavka",VLOOKUP(G258,MODULY_CBA!$B$3:$E$23,2,0),),)</f>
        <v>1.18</v>
      </c>
      <c r="O258" s="378">
        <f t="shared" si="17"/>
        <v>17.074019672131147</v>
      </c>
      <c r="P258" s="377">
        <f>IFERROR(O258*VLOOKUP(G258,MODULY_CBA!$B$3:$F$23,5,0),)</f>
        <v>512.22059016393439</v>
      </c>
      <c r="Q258" s="478" t="str">
        <f>IFERROR(VLOOKUP(G258,MODULY_CBA!$B$3:$I$23,6,0),"")</f>
        <v>Inkrement 3</v>
      </c>
      <c r="R258" s="382"/>
      <c r="S258" s="382"/>
      <c r="T258" s="382"/>
      <c r="U258" s="382"/>
      <c r="V258" s="382"/>
      <c r="W258" s="382"/>
      <c r="X258" s="382"/>
      <c r="Y258" s="382"/>
      <c r="Z258" s="382"/>
      <c r="AA258" s="382"/>
      <c r="AB258" s="382"/>
      <c r="AC258" s="382"/>
      <c r="AD258" s="382"/>
      <c r="AE258" s="382"/>
      <c r="AF258" s="374"/>
    </row>
    <row r="259" spans="1:32">
      <c r="A259" s="401">
        <v>257</v>
      </c>
      <c r="B259" s="401" t="s">
        <v>475</v>
      </c>
      <c r="C259" s="530" t="s">
        <v>613</v>
      </c>
      <c r="D259" s="530" t="s">
        <v>734</v>
      </c>
      <c r="E259" s="530"/>
      <c r="F259" s="389" t="s">
        <v>8</v>
      </c>
      <c r="G259" s="380" t="s">
        <v>262</v>
      </c>
      <c r="H259" s="379">
        <v>1</v>
      </c>
      <c r="I259" s="379">
        <v>15</v>
      </c>
      <c r="J259" s="379">
        <f t="shared" si="15"/>
        <v>1</v>
      </c>
      <c r="K259" s="379">
        <f t="shared" si="16"/>
        <v>15</v>
      </c>
      <c r="L259" s="643">
        <f>IFERROR(IF(B259="funkcna poziadavka",VLOOKUP(G259,MODULY_CBA!$B$3:$E$23,4,0)*H259/SUMIFS($H$3:$H$199,$G$3:$G$199,G259,$B$3:$B$199,B259),),)</f>
        <v>0.47540983606557374</v>
      </c>
      <c r="M259" s="379">
        <f>IFERROR(IF(B259="Funkcna poziadavka",VLOOKUP(G259,MODULY_CBA!$B$3:$E$23,3,0),),)</f>
        <v>0.93499999999999994</v>
      </c>
      <c r="N259" s="379">
        <f>IFERROR(IF(B259="funkcna poziadavka",VLOOKUP(G259,MODULY_CBA!$B$3:$E$23,2,0),),)</f>
        <v>1.18</v>
      </c>
      <c r="O259" s="378">
        <f t="shared" si="17"/>
        <v>17.074019672131147</v>
      </c>
      <c r="P259" s="377">
        <f>IFERROR(O259*VLOOKUP(G259,MODULY_CBA!$B$3:$F$23,5,0),)</f>
        <v>512.22059016393439</v>
      </c>
      <c r="Q259" s="478" t="str">
        <f>IFERROR(VLOOKUP(G259,MODULY_CBA!$B$3:$I$23,6,0),"")</f>
        <v>Inkrement 3</v>
      </c>
      <c r="R259" s="382"/>
      <c r="S259" s="382"/>
      <c r="T259" s="382"/>
      <c r="U259" s="382"/>
      <c r="V259" s="382"/>
      <c r="W259" s="382"/>
      <c r="X259" s="382"/>
      <c r="Y259" s="382"/>
      <c r="Z259" s="382"/>
      <c r="AA259" s="382"/>
      <c r="AB259" s="382"/>
      <c r="AC259" s="382"/>
      <c r="AD259" s="382"/>
      <c r="AE259" s="382"/>
      <c r="AF259" s="374"/>
    </row>
    <row r="260" spans="1:32">
      <c r="A260" s="401">
        <v>258</v>
      </c>
      <c r="B260" s="401" t="s">
        <v>475</v>
      </c>
      <c r="C260" s="530" t="s">
        <v>613</v>
      </c>
      <c r="D260" s="530" t="s">
        <v>735</v>
      </c>
      <c r="E260" s="530"/>
      <c r="F260" s="389" t="s">
        <v>8</v>
      </c>
      <c r="G260" s="380" t="s">
        <v>262</v>
      </c>
      <c r="H260" s="379">
        <v>1</v>
      </c>
      <c r="I260" s="379">
        <v>15</v>
      </c>
      <c r="J260" s="379">
        <f t="shared" ref="J260:J323" si="18">IF(ISNUMBER(H260),H260,)</f>
        <v>1</v>
      </c>
      <c r="K260" s="379">
        <f t="shared" si="16"/>
        <v>15</v>
      </c>
      <c r="L260" s="643">
        <f>IFERROR(IF(B260="funkcna poziadavka",VLOOKUP(G260,MODULY_CBA!$B$3:$E$23,4,0)*H260/SUMIFS($H$3:$H$199,$G$3:$G$199,G260,$B$3:$B$199,B260),),)</f>
        <v>0.47540983606557374</v>
      </c>
      <c r="M260" s="379">
        <f>IFERROR(IF(B260="Funkcna poziadavka",VLOOKUP(G260,MODULY_CBA!$B$3:$E$23,3,0),),)</f>
        <v>0.93499999999999994</v>
      </c>
      <c r="N260" s="379">
        <f>IFERROR(IF(B260="funkcna poziadavka",VLOOKUP(G260,MODULY_CBA!$B$3:$E$23,2,0),),)</f>
        <v>1.18</v>
      </c>
      <c r="O260" s="378">
        <f t="shared" si="17"/>
        <v>17.074019672131147</v>
      </c>
      <c r="P260" s="377">
        <f>IFERROR(O260*VLOOKUP(G260,MODULY_CBA!$B$3:$F$23,5,0),)</f>
        <v>512.22059016393439</v>
      </c>
      <c r="Q260" s="478" t="str">
        <f>IFERROR(VLOOKUP(G260,MODULY_CBA!$B$3:$I$23,6,0),"")</f>
        <v>Inkrement 3</v>
      </c>
      <c r="R260" s="382"/>
      <c r="S260" s="382"/>
      <c r="T260" s="382"/>
      <c r="U260" s="382"/>
      <c r="V260" s="382"/>
      <c r="W260" s="382"/>
      <c r="X260" s="382"/>
      <c r="Y260" s="382"/>
      <c r="Z260" s="382"/>
      <c r="AA260" s="382"/>
      <c r="AB260" s="382"/>
      <c r="AC260" s="382"/>
      <c r="AD260" s="382"/>
      <c r="AE260" s="382"/>
      <c r="AF260" s="374"/>
    </row>
    <row r="261" spans="1:32">
      <c r="A261" s="401">
        <v>259</v>
      </c>
      <c r="B261" s="401" t="s">
        <v>475</v>
      </c>
      <c r="C261" s="530" t="s">
        <v>736</v>
      </c>
      <c r="D261" s="530" t="s">
        <v>737</v>
      </c>
      <c r="E261" s="530"/>
      <c r="F261" s="389" t="s">
        <v>8</v>
      </c>
      <c r="G261" s="383" t="s">
        <v>255</v>
      </c>
      <c r="H261" s="379">
        <v>2</v>
      </c>
      <c r="I261" s="379">
        <v>5</v>
      </c>
      <c r="J261" s="379">
        <f t="shared" si="18"/>
        <v>2</v>
      </c>
      <c r="K261" s="379">
        <f t="shared" si="16"/>
        <v>10</v>
      </c>
      <c r="L261" s="643">
        <f>IFERROR(IF(B261="funkcna poziadavka",VLOOKUP(G261,MODULY_CBA!$B$3:$E$23,4,0)*H261/SUMIFS($H$3:$H$199,$G$3:$G$199,G261,$B$3:$B$199,B261),),)</f>
        <v>0.21323529411764705</v>
      </c>
      <c r="M261" s="379">
        <f>IFERROR(IF(B261="Funkcna poziadavka",VLOOKUP(G261,MODULY_CBA!$B$3:$E$23,3,0),),)</f>
        <v>0.93499999999999994</v>
      </c>
      <c r="N261" s="379">
        <f>IFERROR(IF(B261="funkcna poziadavka",VLOOKUP(G261,MODULY_CBA!$B$3:$E$23,2,0),),)</f>
        <v>1.18</v>
      </c>
      <c r="O261" s="378">
        <f t="shared" si="17"/>
        <v>11.268262499999999</v>
      </c>
      <c r="P261" s="377">
        <f>IFERROR(O261*VLOOKUP(G261,MODULY_CBA!$B$3:$F$23,5,0),)</f>
        <v>338.04787499999998</v>
      </c>
      <c r="Q261" s="478" t="str">
        <f>IFERROR(VLOOKUP(G261,MODULY_CBA!$B$3:$I$23,6,0),"")</f>
        <v>Inkrement 2</v>
      </c>
      <c r="R261" s="382"/>
      <c r="S261" s="382"/>
      <c r="T261" s="382"/>
      <c r="U261" s="382"/>
      <c r="V261" s="382"/>
      <c r="W261" s="382"/>
      <c r="X261" s="382"/>
      <c r="Y261" s="382"/>
      <c r="Z261" s="382"/>
      <c r="AA261" s="382"/>
      <c r="AB261" s="382"/>
      <c r="AC261" s="382"/>
      <c r="AD261" s="382"/>
      <c r="AE261" s="382"/>
      <c r="AF261" s="374"/>
    </row>
    <row r="262" spans="1:32">
      <c r="A262" s="401">
        <v>260</v>
      </c>
      <c r="B262" s="401" t="s">
        <v>475</v>
      </c>
      <c r="C262" s="530" t="s">
        <v>736</v>
      </c>
      <c r="D262" s="530" t="s">
        <v>738</v>
      </c>
      <c r="E262" s="530"/>
      <c r="F262" s="389" t="s">
        <v>8</v>
      </c>
      <c r="G262" s="383" t="s">
        <v>255</v>
      </c>
      <c r="H262" s="379">
        <v>2</v>
      </c>
      <c r="I262" s="379">
        <v>5</v>
      </c>
      <c r="J262" s="379">
        <f t="shared" si="18"/>
        <v>2</v>
      </c>
      <c r="K262" s="379">
        <f t="shared" si="16"/>
        <v>10</v>
      </c>
      <c r="L262" s="643">
        <f>IFERROR(IF(B262="funkcna poziadavka",VLOOKUP(G262,MODULY_CBA!$B$3:$E$23,4,0)*H262/SUMIFS($H$3:$H$199,$G$3:$G$199,G262,$B$3:$B$199,B262),),)</f>
        <v>0.21323529411764705</v>
      </c>
      <c r="M262" s="379">
        <f>IFERROR(IF(B262="Funkcna poziadavka",VLOOKUP(G262,MODULY_CBA!$B$3:$E$23,3,0),),)</f>
        <v>0.93499999999999994</v>
      </c>
      <c r="N262" s="379">
        <f>IFERROR(IF(B262="funkcna poziadavka",VLOOKUP(G262,MODULY_CBA!$B$3:$E$23,2,0),),)</f>
        <v>1.18</v>
      </c>
      <c r="O262" s="378">
        <f t="shared" si="17"/>
        <v>11.268262499999999</v>
      </c>
      <c r="P262" s="377">
        <f>IFERROR(O262*VLOOKUP(G262,MODULY_CBA!$B$3:$F$23,5,0),)</f>
        <v>338.04787499999998</v>
      </c>
      <c r="Q262" s="478" t="str">
        <f>IFERROR(VLOOKUP(G262,MODULY_CBA!$B$3:$I$23,6,0),"")</f>
        <v>Inkrement 2</v>
      </c>
      <c r="R262" s="382"/>
      <c r="S262" s="382"/>
      <c r="T262" s="382"/>
      <c r="U262" s="382"/>
      <c r="V262" s="382"/>
      <c r="W262" s="382"/>
      <c r="X262" s="382"/>
      <c r="Y262" s="382"/>
      <c r="Z262" s="382"/>
      <c r="AA262" s="382"/>
      <c r="AB262" s="382"/>
      <c r="AC262" s="382"/>
      <c r="AD262" s="382"/>
      <c r="AE262" s="382"/>
      <c r="AF262" s="374"/>
    </row>
    <row r="263" spans="1:32">
      <c r="A263" s="401">
        <v>261</v>
      </c>
      <c r="B263" s="401" t="s">
        <v>475</v>
      </c>
      <c r="C263" s="530" t="s">
        <v>736</v>
      </c>
      <c r="D263" s="530" t="s">
        <v>739</v>
      </c>
      <c r="E263" s="530"/>
      <c r="F263" s="389" t="s">
        <v>8</v>
      </c>
      <c r="G263" s="383" t="s">
        <v>255</v>
      </c>
      <c r="H263" s="379">
        <v>2</v>
      </c>
      <c r="I263" s="379">
        <v>5</v>
      </c>
      <c r="J263" s="379">
        <f t="shared" si="18"/>
        <v>2</v>
      </c>
      <c r="K263" s="379">
        <f t="shared" si="16"/>
        <v>10</v>
      </c>
      <c r="L263" s="643">
        <f>IFERROR(IF(B263="funkcna poziadavka",VLOOKUP(G263,MODULY_CBA!$B$3:$E$23,4,0)*H263/SUMIFS($H$3:$H$199,$G$3:$G$199,G263,$B$3:$B$199,B263),),)</f>
        <v>0.21323529411764705</v>
      </c>
      <c r="M263" s="379">
        <f>IFERROR(IF(B263="Funkcna poziadavka",VLOOKUP(G263,MODULY_CBA!$B$3:$E$23,3,0),),)</f>
        <v>0.93499999999999994</v>
      </c>
      <c r="N263" s="379">
        <f>IFERROR(IF(B263="funkcna poziadavka",VLOOKUP(G263,MODULY_CBA!$B$3:$E$23,2,0),),)</f>
        <v>1.18</v>
      </c>
      <c r="O263" s="378">
        <f t="shared" si="17"/>
        <v>11.268262499999999</v>
      </c>
      <c r="P263" s="377">
        <f>IFERROR(O263*VLOOKUP(G263,MODULY_CBA!$B$3:$F$23,5,0),)</f>
        <v>338.04787499999998</v>
      </c>
      <c r="Q263" s="478" t="str">
        <f>IFERROR(VLOOKUP(G263,MODULY_CBA!$B$3:$I$23,6,0),"")</f>
        <v>Inkrement 2</v>
      </c>
      <c r="R263" s="382"/>
      <c r="S263" s="382"/>
      <c r="T263" s="382"/>
      <c r="U263" s="382"/>
      <c r="V263" s="382"/>
      <c r="W263" s="382"/>
      <c r="X263" s="382"/>
      <c r="Y263" s="382"/>
      <c r="Z263" s="382"/>
      <c r="AA263" s="382"/>
      <c r="AB263" s="382"/>
      <c r="AC263" s="382"/>
      <c r="AD263" s="382"/>
      <c r="AE263" s="382"/>
      <c r="AF263" s="374"/>
    </row>
    <row r="264" spans="1:32">
      <c r="A264" s="401">
        <v>262</v>
      </c>
      <c r="B264" s="401" t="s">
        <v>475</v>
      </c>
      <c r="C264" s="530" t="s">
        <v>736</v>
      </c>
      <c r="D264" s="530" t="s">
        <v>740</v>
      </c>
      <c r="E264" s="530"/>
      <c r="F264" s="389" t="s">
        <v>8</v>
      </c>
      <c r="G264" s="383" t="s">
        <v>255</v>
      </c>
      <c r="H264" s="379">
        <v>2</v>
      </c>
      <c r="I264" s="379">
        <v>5</v>
      </c>
      <c r="J264" s="379">
        <f t="shared" si="18"/>
        <v>2</v>
      </c>
      <c r="K264" s="379">
        <f t="shared" si="16"/>
        <v>10</v>
      </c>
      <c r="L264" s="643">
        <f>IFERROR(IF(B264="funkcna poziadavka",VLOOKUP(G264,MODULY_CBA!$B$3:$E$23,4,0)*H264/SUMIFS($H$3:$H$199,$G$3:$G$199,G264,$B$3:$B$199,B264),),)</f>
        <v>0.21323529411764705</v>
      </c>
      <c r="M264" s="379">
        <f>IFERROR(IF(B264="Funkcna poziadavka",VLOOKUP(G264,MODULY_CBA!$B$3:$E$23,3,0),),)</f>
        <v>0.93499999999999994</v>
      </c>
      <c r="N264" s="379">
        <f>IFERROR(IF(B264="funkcna poziadavka",VLOOKUP(G264,MODULY_CBA!$B$3:$E$23,2,0),),)</f>
        <v>1.18</v>
      </c>
      <c r="O264" s="378">
        <f t="shared" si="17"/>
        <v>11.268262499999999</v>
      </c>
      <c r="P264" s="377">
        <f>IFERROR(O264*VLOOKUP(G264,MODULY_CBA!$B$3:$F$23,5,0),)</f>
        <v>338.04787499999998</v>
      </c>
      <c r="Q264" s="478" t="str">
        <f>IFERROR(VLOOKUP(G264,MODULY_CBA!$B$3:$I$23,6,0),"")</f>
        <v>Inkrement 2</v>
      </c>
      <c r="R264" s="382"/>
      <c r="S264" s="382"/>
      <c r="T264" s="382"/>
      <c r="U264" s="382"/>
      <c r="V264" s="382"/>
      <c r="W264" s="382"/>
      <c r="X264" s="382"/>
      <c r="Y264" s="382"/>
      <c r="Z264" s="382"/>
      <c r="AA264" s="382"/>
      <c r="AB264" s="382"/>
      <c r="AC264" s="382"/>
      <c r="AD264" s="382"/>
      <c r="AE264" s="382"/>
      <c r="AF264" s="374"/>
    </row>
    <row r="265" spans="1:32">
      <c r="A265" s="401">
        <v>263</v>
      </c>
      <c r="B265" s="401" t="s">
        <v>475</v>
      </c>
      <c r="C265" s="530" t="s">
        <v>736</v>
      </c>
      <c r="D265" s="530" t="s">
        <v>741</v>
      </c>
      <c r="E265" s="530"/>
      <c r="F265" s="389" t="s">
        <v>8</v>
      </c>
      <c r="G265" s="383" t="s">
        <v>255</v>
      </c>
      <c r="H265" s="379">
        <v>2</v>
      </c>
      <c r="I265" s="379">
        <v>5</v>
      </c>
      <c r="J265" s="379">
        <f t="shared" si="18"/>
        <v>2</v>
      </c>
      <c r="K265" s="379">
        <f t="shared" si="16"/>
        <v>10</v>
      </c>
      <c r="L265" s="643">
        <f>IFERROR(IF(B265="funkcna poziadavka",VLOOKUP(G265,MODULY_CBA!$B$3:$E$23,4,0)*H265/SUMIFS($H$3:$H$199,$G$3:$G$199,G265,$B$3:$B$199,B265),),)</f>
        <v>0.21323529411764705</v>
      </c>
      <c r="M265" s="379">
        <f>IFERROR(IF(B265="Funkcna poziadavka",VLOOKUP(G265,MODULY_CBA!$B$3:$E$23,3,0),),)</f>
        <v>0.93499999999999994</v>
      </c>
      <c r="N265" s="379">
        <f>IFERROR(IF(B265="funkcna poziadavka",VLOOKUP(G265,MODULY_CBA!$B$3:$E$23,2,0),),)</f>
        <v>1.18</v>
      </c>
      <c r="O265" s="378">
        <f t="shared" si="17"/>
        <v>11.268262499999999</v>
      </c>
      <c r="P265" s="377">
        <f>IFERROR(O265*VLOOKUP(G265,MODULY_CBA!$B$3:$F$23,5,0),)</f>
        <v>338.04787499999998</v>
      </c>
      <c r="Q265" s="478" t="str">
        <f>IFERROR(VLOOKUP(G265,MODULY_CBA!$B$3:$I$23,6,0),"")</f>
        <v>Inkrement 2</v>
      </c>
      <c r="R265" s="382"/>
      <c r="S265" s="382"/>
      <c r="T265" s="382"/>
      <c r="U265" s="382"/>
      <c r="V265" s="382"/>
      <c r="W265" s="382"/>
      <c r="X265" s="382"/>
      <c r="Y265" s="382"/>
      <c r="Z265" s="382"/>
      <c r="AA265" s="382"/>
      <c r="AB265" s="382"/>
      <c r="AC265" s="382"/>
      <c r="AD265" s="382"/>
      <c r="AE265" s="382"/>
      <c r="AF265" s="374"/>
    </row>
    <row r="266" spans="1:32">
      <c r="A266" s="401">
        <v>264</v>
      </c>
      <c r="B266" s="401" t="s">
        <v>475</v>
      </c>
      <c r="C266" s="530" t="s">
        <v>736</v>
      </c>
      <c r="D266" s="530" t="s">
        <v>742</v>
      </c>
      <c r="E266" s="530"/>
      <c r="F266" s="389" t="s">
        <v>8</v>
      </c>
      <c r="G266" s="383" t="s">
        <v>255</v>
      </c>
      <c r="H266" s="379">
        <v>2</v>
      </c>
      <c r="I266" s="379">
        <v>5</v>
      </c>
      <c r="J266" s="379">
        <f t="shared" si="18"/>
        <v>2</v>
      </c>
      <c r="K266" s="379">
        <f t="shared" si="16"/>
        <v>10</v>
      </c>
      <c r="L266" s="643">
        <f>IFERROR(IF(B266="funkcna poziadavka",VLOOKUP(G266,MODULY_CBA!$B$3:$E$23,4,0)*H266/SUMIFS($H$3:$H$199,$G$3:$G$199,G266,$B$3:$B$199,B266),),)</f>
        <v>0.21323529411764705</v>
      </c>
      <c r="M266" s="379">
        <f>IFERROR(IF(B266="Funkcna poziadavka",VLOOKUP(G266,MODULY_CBA!$B$3:$E$23,3,0),),)</f>
        <v>0.93499999999999994</v>
      </c>
      <c r="N266" s="379">
        <f>IFERROR(IF(B266="funkcna poziadavka",VLOOKUP(G266,MODULY_CBA!$B$3:$E$23,2,0),),)</f>
        <v>1.18</v>
      </c>
      <c r="O266" s="378">
        <f t="shared" si="17"/>
        <v>11.268262499999999</v>
      </c>
      <c r="P266" s="377">
        <f>IFERROR(O266*VLOOKUP(G266,MODULY_CBA!$B$3:$F$23,5,0),)</f>
        <v>338.04787499999998</v>
      </c>
      <c r="Q266" s="478" t="str">
        <f>IFERROR(VLOOKUP(G266,MODULY_CBA!$B$3:$I$23,6,0),"")</f>
        <v>Inkrement 2</v>
      </c>
      <c r="R266" s="382"/>
      <c r="S266" s="382"/>
      <c r="T266" s="382"/>
      <c r="U266" s="382"/>
      <c r="V266" s="382"/>
      <c r="W266" s="382"/>
      <c r="X266" s="382"/>
      <c r="Y266" s="382"/>
      <c r="Z266" s="382"/>
      <c r="AA266" s="382"/>
      <c r="AB266" s="382"/>
      <c r="AC266" s="382"/>
      <c r="AD266" s="382"/>
      <c r="AE266" s="382"/>
      <c r="AF266" s="374"/>
    </row>
    <row r="267" spans="1:32">
      <c r="A267" s="401">
        <v>265</v>
      </c>
      <c r="B267" s="401" t="s">
        <v>475</v>
      </c>
      <c r="C267" s="530" t="s">
        <v>736</v>
      </c>
      <c r="D267" s="530" t="s">
        <v>743</v>
      </c>
      <c r="E267" s="530"/>
      <c r="F267" s="389" t="s">
        <v>8</v>
      </c>
      <c r="G267" s="383" t="s">
        <v>255</v>
      </c>
      <c r="H267" s="379">
        <v>2</v>
      </c>
      <c r="I267" s="379">
        <v>5</v>
      </c>
      <c r="J267" s="379">
        <f t="shared" si="18"/>
        <v>2</v>
      </c>
      <c r="K267" s="379">
        <f t="shared" si="16"/>
        <v>10</v>
      </c>
      <c r="L267" s="643">
        <f>IFERROR(IF(B267="funkcna poziadavka",VLOOKUP(G267,MODULY_CBA!$B$3:$E$23,4,0)*H267/SUMIFS($H$3:$H$199,$G$3:$G$199,G267,$B$3:$B$199,B267),),)</f>
        <v>0.21323529411764705</v>
      </c>
      <c r="M267" s="379">
        <f>IFERROR(IF(B267="Funkcna poziadavka",VLOOKUP(G267,MODULY_CBA!$B$3:$E$23,3,0),),)</f>
        <v>0.93499999999999994</v>
      </c>
      <c r="N267" s="379">
        <f>IFERROR(IF(B267="funkcna poziadavka",VLOOKUP(G267,MODULY_CBA!$B$3:$E$23,2,0),),)</f>
        <v>1.18</v>
      </c>
      <c r="O267" s="378">
        <f t="shared" si="17"/>
        <v>11.268262499999999</v>
      </c>
      <c r="P267" s="377">
        <f>IFERROR(O267*VLOOKUP(G267,MODULY_CBA!$B$3:$F$23,5,0),)</f>
        <v>338.04787499999998</v>
      </c>
      <c r="Q267" s="478" t="str">
        <f>IFERROR(VLOOKUP(G267,MODULY_CBA!$B$3:$I$23,6,0),"")</f>
        <v>Inkrement 2</v>
      </c>
      <c r="R267" s="382"/>
      <c r="S267" s="382"/>
      <c r="T267" s="382"/>
      <c r="U267" s="382"/>
      <c r="V267" s="382"/>
      <c r="W267" s="382"/>
      <c r="X267" s="382"/>
      <c r="Y267" s="382"/>
      <c r="Z267" s="382"/>
      <c r="AA267" s="382"/>
      <c r="AB267" s="382"/>
      <c r="AC267" s="382"/>
      <c r="AD267" s="382"/>
      <c r="AE267" s="382"/>
      <c r="AF267" s="374"/>
    </row>
    <row r="268" spans="1:32">
      <c r="A268" s="401">
        <v>266</v>
      </c>
      <c r="B268" s="401" t="s">
        <v>475</v>
      </c>
      <c r="C268" s="530" t="s">
        <v>736</v>
      </c>
      <c r="D268" s="530" t="s">
        <v>744</v>
      </c>
      <c r="E268" s="530"/>
      <c r="F268" s="389" t="s">
        <v>8</v>
      </c>
      <c r="G268" s="383" t="s">
        <v>255</v>
      </c>
      <c r="H268" s="379">
        <v>2</v>
      </c>
      <c r="I268" s="379">
        <v>5</v>
      </c>
      <c r="J268" s="379">
        <f t="shared" si="18"/>
        <v>2</v>
      </c>
      <c r="K268" s="379">
        <f t="shared" si="16"/>
        <v>10</v>
      </c>
      <c r="L268" s="643">
        <f>IFERROR(IF(B268="funkcna poziadavka",VLOOKUP(G268,MODULY_CBA!$B$3:$E$23,4,0)*H268/SUMIFS($H$3:$H$199,$G$3:$G$199,G268,$B$3:$B$199,B268),),)</f>
        <v>0.21323529411764705</v>
      </c>
      <c r="M268" s="379">
        <f>IFERROR(IF(B268="Funkcna poziadavka",VLOOKUP(G268,MODULY_CBA!$B$3:$E$23,3,0),),)</f>
        <v>0.93499999999999994</v>
      </c>
      <c r="N268" s="379">
        <f>IFERROR(IF(B268="funkcna poziadavka",VLOOKUP(G268,MODULY_CBA!$B$3:$E$23,2,0),),)</f>
        <v>1.18</v>
      </c>
      <c r="O268" s="378">
        <f t="shared" si="17"/>
        <v>11.268262499999999</v>
      </c>
      <c r="P268" s="377">
        <f>IFERROR(O268*VLOOKUP(G268,MODULY_CBA!$B$3:$F$23,5,0),)</f>
        <v>338.04787499999998</v>
      </c>
      <c r="Q268" s="478" t="str">
        <f>IFERROR(VLOOKUP(G268,MODULY_CBA!$B$3:$I$23,6,0),"")</f>
        <v>Inkrement 2</v>
      </c>
      <c r="R268" s="382"/>
      <c r="S268" s="382"/>
      <c r="T268" s="382"/>
      <c r="U268" s="382"/>
      <c r="V268" s="382"/>
      <c r="W268" s="382"/>
      <c r="X268" s="382"/>
      <c r="Y268" s="382"/>
      <c r="Z268" s="382"/>
      <c r="AA268" s="382"/>
      <c r="AB268" s="382"/>
      <c r="AC268" s="382"/>
      <c r="AD268" s="382"/>
      <c r="AE268" s="382"/>
      <c r="AF268" s="374"/>
    </row>
    <row r="269" spans="1:32">
      <c r="A269" s="401">
        <v>267</v>
      </c>
      <c r="B269" s="401" t="s">
        <v>475</v>
      </c>
      <c r="C269" s="530" t="s">
        <v>736</v>
      </c>
      <c r="D269" s="530" t="s">
        <v>745</v>
      </c>
      <c r="E269" s="530"/>
      <c r="F269" s="389" t="s">
        <v>8</v>
      </c>
      <c r="G269" s="383" t="s">
        <v>255</v>
      </c>
      <c r="H269" s="379">
        <v>2</v>
      </c>
      <c r="I269" s="379">
        <v>5</v>
      </c>
      <c r="J269" s="379">
        <f t="shared" si="18"/>
        <v>2</v>
      </c>
      <c r="K269" s="379">
        <f t="shared" si="16"/>
        <v>10</v>
      </c>
      <c r="L269" s="643">
        <f>IFERROR(IF(B269="funkcna poziadavka",VLOOKUP(G269,MODULY_CBA!$B$3:$E$23,4,0)*H269/SUMIFS($H$3:$H$199,$G$3:$G$199,G269,$B$3:$B$199,B269),),)</f>
        <v>0.21323529411764705</v>
      </c>
      <c r="M269" s="379">
        <f>IFERROR(IF(B269="Funkcna poziadavka",VLOOKUP(G269,MODULY_CBA!$B$3:$E$23,3,0),),)</f>
        <v>0.93499999999999994</v>
      </c>
      <c r="N269" s="379">
        <f>IFERROR(IF(B269="funkcna poziadavka",VLOOKUP(G269,MODULY_CBA!$B$3:$E$23,2,0),),)</f>
        <v>1.18</v>
      </c>
      <c r="O269" s="378">
        <f t="shared" si="17"/>
        <v>11.268262499999999</v>
      </c>
      <c r="P269" s="377">
        <f>IFERROR(O269*VLOOKUP(G269,MODULY_CBA!$B$3:$F$23,5,0),)</f>
        <v>338.04787499999998</v>
      </c>
      <c r="Q269" s="478" t="str">
        <f>IFERROR(VLOOKUP(G269,MODULY_CBA!$B$3:$I$23,6,0),"")</f>
        <v>Inkrement 2</v>
      </c>
      <c r="R269" s="382"/>
      <c r="S269" s="382"/>
      <c r="T269" s="382"/>
      <c r="U269" s="382"/>
      <c r="V269" s="382"/>
      <c r="W269" s="382"/>
      <c r="X269" s="382"/>
      <c r="Y269" s="382"/>
      <c r="Z269" s="382"/>
      <c r="AA269" s="382"/>
      <c r="AB269" s="382"/>
      <c r="AC269" s="382"/>
      <c r="AD269" s="382"/>
      <c r="AE269" s="382"/>
      <c r="AF269" s="374"/>
    </row>
    <row r="270" spans="1:32">
      <c r="A270" s="401">
        <v>268</v>
      </c>
      <c r="B270" s="401" t="s">
        <v>475</v>
      </c>
      <c r="C270" s="530" t="s">
        <v>736</v>
      </c>
      <c r="D270" s="530" t="s">
        <v>746</v>
      </c>
      <c r="E270" s="530"/>
      <c r="F270" s="389" t="s">
        <v>8</v>
      </c>
      <c r="G270" s="383" t="s">
        <v>255</v>
      </c>
      <c r="H270" s="379">
        <v>2</v>
      </c>
      <c r="I270" s="379">
        <v>5</v>
      </c>
      <c r="J270" s="379">
        <f t="shared" si="18"/>
        <v>2</v>
      </c>
      <c r="K270" s="379">
        <f t="shared" si="16"/>
        <v>10</v>
      </c>
      <c r="L270" s="643">
        <f>IFERROR(IF(B270="funkcna poziadavka",VLOOKUP(G270,MODULY_CBA!$B$3:$E$23,4,0)*H270/SUMIFS($H$3:$H$199,$G$3:$G$199,G270,$B$3:$B$199,B270),),)</f>
        <v>0.21323529411764705</v>
      </c>
      <c r="M270" s="379">
        <f>IFERROR(IF(B270="Funkcna poziadavka",VLOOKUP(G270,MODULY_CBA!$B$3:$E$23,3,0),),)</f>
        <v>0.93499999999999994</v>
      </c>
      <c r="N270" s="379">
        <f>IFERROR(IF(B270="funkcna poziadavka",VLOOKUP(G270,MODULY_CBA!$B$3:$E$23,2,0),),)</f>
        <v>1.18</v>
      </c>
      <c r="O270" s="378">
        <f t="shared" si="17"/>
        <v>11.268262499999999</v>
      </c>
      <c r="P270" s="377">
        <f>IFERROR(O270*VLOOKUP(G270,MODULY_CBA!$B$3:$F$23,5,0),)</f>
        <v>338.04787499999998</v>
      </c>
      <c r="Q270" s="478" t="str">
        <f>IFERROR(VLOOKUP(G270,MODULY_CBA!$B$3:$I$23,6,0),"")</f>
        <v>Inkrement 2</v>
      </c>
      <c r="R270" s="382"/>
      <c r="S270" s="382"/>
      <c r="T270" s="382"/>
      <c r="U270" s="382"/>
      <c r="V270" s="382"/>
      <c r="W270" s="382"/>
      <c r="X270" s="382"/>
      <c r="Y270" s="382"/>
      <c r="Z270" s="382"/>
      <c r="AA270" s="382"/>
      <c r="AB270" s="382"/>
      <c r="AC270" s="382"/>
      <c r="AD270" s="382"/>
      <c r="AE270" s="382"/>
      <c r="AF270" s="374"/>
    </row>
    <row r="271" spans="1:32">
      <c r="A271" s="401">
        <v>269</v>
      </c>
      <c r="B271" s="401" t="s">
        <v>475</v>
      </c>
      <c r="C271" s="530" t="s">
        <v>736</v>
      </c>
      <c r="D271" s="530" t="s">
        <v>747</v>
      </c>
      <c r="E271" s="530"/>
      <c r="F271" s="389" t="s">
        <v>8</v>
      </c>
      <c r="G271" s="383" t="s">
        <v>255</v>
      </c>
      <c r="H271" s="379">
        <v>2</v>
      </c>
      <c r="I271" s="379">
        <v>5</v>
      </c>
      <c r="J271" s="379">
        <f t="shared" si="18"/>
        <v>2</v>
      </c>
      <c r="K271" s="379">
        <f t="shared" si="16"/>
        <v>10</v>
      </c>
      <c r="L271" s="643">
        <f>IFERROR(IF(B271="funkcna poziadavka",VLOOKUP(G271,MODULY_CBA!$B$3:$E$23,4,0)*H271/SUMIFS($H$3:$H$199,$G$3:$G$199,G271,$B$3:$B$199,B271),),)</f>
        <v>0.21323529411764705</v>
      </c>
      <c r="M271" s="379">
        <f>IFERROR(IF(B271="Funkcna poziadavka",VLOOKUP(G271,MODULY_CBA!$B$3:$E$23,3,0),),)</f>
        <v>0.93499999999999994</v>
      </c>
      <c r="N271" s="379">
        <f>IFERROR(IF(B271="funkcna poziadavka",VLOOKUP(G271,MODULY_CBA!$B$3:$E$23,2,0),),)</f>
        <v>1.18</v>
      </c>
      <c r="O271" s="378">
        <f t="shared" si="17"/>
        <v>11.268262499999999</v>
      </c>
      <c r="P271" s="377">
        <f>IFERROR(O271*VLOOKUP(G271,MODULY_CBA!$B$3:$F$23,5,0),)</f>
        <v>338.04787499999998</v>
      </c>
      <c r="Q271" s="478" t="str">
        <f>IFERROR(VLOOKUP(G271,MODULY_CBA!$B$3:$I$23,6,0),"")</f>
        <v>Inkrement 2</v>
      </c>
      <c r="R271" s="382"/>
      <c r="S271" s="382"/>
      <c r="T271" s="382"/>
      <c r="U271" s="382"/>
      <c r="V271" s="382"/>
      <c r="W271" s="382"/>
      <c r="X271" s="382"/>
      <c r="Y271" s="382"/>
      <c r="Z271" s="382"/>
      <c r="AA271" s="382"/>
      <c r="AB271" s="382"/>
      <c r="AC271" s="382"/>
      <c r="AD271" s="382"/>
      <c r="AE271" s="382"/>
      <c r="AF271" s="374"/>
    </row>
    <row r="272" spans="1:32">
      <c r="A272" s="401">
        <v>270</v>
      </c>
      <c r="B272" s="401" t="s">
        <v>475</v>
      </c>
      <c r="C272" s="530" t="s">
        <v>736</v>
      </c>
      <c r="D272" s="530" t="s">
        <v>748</v>
      </c>
      <c r="E272" s="530"/>
      <c r="F272" s="389" t="s">
        <v>8</v>
      </c>
      <c r="G272" s="383" t="s">
        <v>255</v>
      </c>
      <c r="H272" s="379">
        <v>2</v>
      </c>
      <c r="I272" s="379">
        <v>5</v>
      </c>
      <c r="J272" s="379">
        <f t="shared" si="18"/>
        <v>2</v>
      </c>
      <c r="K272" s="379">
        <f t="shared" si="16"/>
        <v>10</v>
      </c>
      <c r="L272" s="643">
        <f>IFERROR(IF(B272="funkcna poziadavka",VLOOKUP(G272,MODULY_CBA!$B$3:$E$23,4,0)*H272/SUMIFS($H$3:$H$199,$G$3:$G$199,G272,$B$3:$B$199,B272),),)</f>
        <v>0.21323529411764705</v>
      </c>
      <c r="M272" s="379">
        <f>IFERROR(IF(B272="Funkcna poziadavka",VLOOKUP(G272,MODULY_CBA!$B$3:$E$23,3,0),),)</f>
        <v>0.93499999999999994</v>
      </c>
      <c r="N272" s="379">
        <f>IFERROR(IF(B272="funkcna poziadavka",VLOOKUP(G272,MODULY_CBA!$B$3:$E$23,2,0),),)</f>
        <v>1.18</v>
      </c>
      <c r="O272" s="378">
        <f t="shared" si="17"/>
        <v>11.268262499999999</v>
      </c>
      <c r="P272" s="377">
        <f>IFERROR(O272*VLOOKUP(G272,MODULY_CBA!$B$3:$F$23,5,0),)</f>
        <v>338.04787499999998</v>
      </c>
      <c r="Q272" s="478" t="str">
        <f>IFERROR(VLOOKUP(G272,MODULY_CBA!$B$3:$I$23,6,0),"")</f>
        <v>Inkrement 2</v>
      </c>
      <c r="R272" s="382"/>
      <c r="S272" s="382"/>
      <c r="T272" s="382"/>
      <c r="U272" s="382"/>
      <c r="V272" s="382"/>
      <c r="W272" s="382"/>
      <c r="X272" s="382"/>
      <c r="Y272" s="382"/>
      <c r="Z272" s="382"/>
      <c r="AA272" s="382"/>
      <c r="AB272" s="382"/>
      <c r="AC272" s="382"/>
      <c r="AD272" s="382"/>
      <c r="AE272" s="382"/>
      <c r="AF272" s="374"/>
    </row>
    <row r="273" spans="1:32">
      <c r="A273" s="401">
        <v>271</v>
      </c>
      <c r="B273" s="401" t="s">
        <v>475</v>
      </c>
      <c r="C273" s="530" t="s">
        <v>736</v>
      </c>
      <c r="D273" s="530" t="s">
        <v>749</v>
      </c>
      <c r="E273" s="530"/>
      <c r="F273" s="389" t="s">
        <v>8</v>
      </c>
      <c r="G273" s="383" t="s">
        <v>255</v>
      </c>
      <c r="H273" s="379">
        <v>2</v>
      </c>
      <c r="I273" s="379">
        <v>5</v>
      </c>
      <c r="J273" s="379">
        <f t="shared" si="18"/>
        <v>2</v>
      </c>
      <c r="K273" s="379">
        <f t="shared" si="16"/>
        <v>10</v>
      </c>
      <c r="L273" s="643">
        <f>IFERROR(IF(B273="funkcna poziadavka",VLOOKUP(G273,MODULY_CBA!$B$3:$E$23,4,0)*H273/SUMIFS($H$3:$H$199,$G$3:$G$199,G273,$B$3:$B$199,B273),),)</f>
        <v>0.21323529411764705</v>
      </c>
      <c r="M273" s="379">
        <f>IFERROR(IF(B273="Funkcna poziadavka",VLOOKUP(G273,MODULY_CBA!$B$3:$E$23,3,0),),)</f>
        <v>0.93499999999999994</v>
      </c>
      <c r="N273" s="379">
        <f>IFERROR(IF(B273="funkcna poziadavka",VLOOKUP(G273,MODULY_CBA!$B$3:$E$23,2,0),),)</f>
        <v>1.18</v>
      </c>
      <c r="O273" s="378">
        <f t="shared" si="17"/>
        <v>11.268262499999999</v>
      </c>
      <c r="P273" s="377">
        <f>IFERROR(O273*VLOOKUP(G273,MODULY_CBA!$B$3:$F$23,5,0),)</f>
        <v>338.04787499999998</v>
      </c>
      <c r="Q273" s="478" t="str">
        <f>IFERROR(VLOOKUP(G273,MODULY_CBA!$B$3:$I$23,6,0),"")</f>
        <v>Inkrement 2</v>
      </c>
      <c r="R273" s="382"/>
      <c r="S273" s="382"/>
      <c r="T273" s="382"/>
      <c r="U273" s="382"/>
      <c r="V273" s="382"/>
      <c r="W273" s="382"/>
      <c r="X273" s="382"/>
      <c r="Y273" s="382"/>
      <c r="Z273" s="382"/>
      <c r="AA273" s="382"/>
      <c r="AB273" s="382"/>
      <c r="AC273" s="382"/>
      <c r="AD273" s="382"/>
      <c r="AE273" s="382"/>
      <c r="AF273" s="374"/>
    </row>
    <row r="274" spans="1:32">
      <c r="A274" s="401">
        <v>272</v>
      </c>
      <c r="B274" s="401" t="s">
        <v>475</v>
      </c>
      <c r="C274" s="530" t="s">
        <v>736</v>
      </c>
      <c r="D274" s="530" t="s">
        <v>750</v>
      </c>
      <c r="E274" s="530"/>
      <c r="F274" s="389" t="s">
        <v>8</v>
      </c>
      <c r="G274" s="383" t="s">
        <v>255</v>
      </c>
      <c r="H274" s="379">
        <v>2</v>
      </c>
      <c r="I274" s="379">
        <v>5</v>
      </c>
      <c r="J274" s="379">
        <f t="shared" si="18"/>
        <v>2</v>
      </c>
      <c r="K274" s="379">
        <f t="shared" si="16"/>
        <v>10</v>
      </c>
      <c r="L274" s="643">
        <f>IFERROR(IF(B274="funkcna poziadavka",VLOOKUP(G274,MODULY_CBA!$B$3:$E$23,4,0)*H274/SUMIFS($H$3:$H$199,$G$3:$G$199,G274,$B$3:$B$199,B274),),)</f>
        <v>0.21323529411764705</v>
      </c>
      <c r="M274" s="379">
        <f>IFERROR(IF(B274="Funkcna poziadavka",VLOOKUP(G274,MODULY_CBA!$B$3:$E$23,3,0),),)</f>
        <v>0.93499999999999994</v>
      </c>
      <c r="N274" s="379">
        <f>IFERROR(IF(B274="funkcna poziadavka",VLOOKUP(G274,MODULY_CBA!$B$3:$E$23,2,0),),)</f>
        <v>1.18</v>
      </c>
      <c r="O274" s="378">
        <f t="shared" si="17"/>
        <v>11.268262499999999</v>
      </c>
      <c r="P274" s="377">
        <f>IFERROR(O274*VLOOKUP(G274,MODULY_CBA!$B$3:$F$23,5,0),)</f>
        <v>338.04787499999998</v>
      </c>
      <c r="Q274" s="478" t="str">
        <f>IFERROR(VLOOKUP(G274,MODULY_CBA!$B$3:$I$23,6,0),"")</f>
        <v>Inkrement 2</v>
      </c>
      <c r="R274" s="382"/>
      <c r="S274" s="382"/>
      <c r="T274" s="382"/>
      <c r="U274" s="382"/>
      <c r="V274" s="382"/>
      <c r="W274" s="382"/>
      <c r="X274" s="382"/>
      <c r="Y274" s="382"/>
      <c r="Z274" s="382"/>
      <c r="AA274" s="382"/>
      <c r="AB274" s="382"/>
      <c r="AC274" s="382"/>
      <c r="AD274" s="382"/>
      <c r="AE274" s="382"/>
      <c r="AF274" s="374"/>
    </row>
    <row r="275" spans="1:32">
      <c r="A275" s="401">
        <v>273</v>
      </c>
      <c r="B275" s="401" t="s">
        <v>475</v>
      </c>
      <c r="C275" s="530" t="s">
        <v>736</v>
      </c>
      <c r="D275" s="530" t="s">
        <v>751</v>
      </c>
      <c r="E275" s="530"/>
      <c r="F275" s="389" t="s">
        <v>8</v>
      </c>
      <c r="G275" s="383" t="s">
        <v>255</v>
      </c>
      <c r="H275" s="379">
        <v>2</v>
      </c>
      <c r="I275" s="379">
        <v>5</v>
      </c>
      <c r="J275" s="379">
        <f t="shared" si="18"/>
        <v>2</v>
      </c>
      <c r="K275" s="379">
        <f t="shared" si="16"/>
        <v>10</v>
      </c>
      <c r="L275" s="643">
        <f>IFERROR(IF(B275="funkcna poziadavka",VLOOKUP(G275,MODULY_CBA!$B$3:$E$23,4,0)*H275/SUMIFS($H$3:$H$199,$G$3:$G$199,G275,$B$3:$B$199,B275),),)</f>
        <v>0.21323529411764705</v>
      </c>
      <c r="M275" s="379">
        <f>IFERROR(IF(B275="Funkcna poziadavka",VLOOKUP(G275,MODULY_CBA!$B$3:$E$23,3,0),),)</f>
        <v>0.93499999999999994</v>
      </c>
      <c r="N275" s="379">
        <f>IFERROR(IF(B275="funkcna poziadavka",VLOOKUP(G275,MODULY_CBA!$B$3:$E$23,2,0),),)</f>
        <v>1.18</v>
      </c>
      <c r="O275" s="378">
        <f t="shared" si="17"/>
        <v>11.268262499999999</v>
      </c>
      <c r="P275" s="377">
        <f>IFERROR(O275*VLOOKUP(G275,MODULY_CBA!$B$3:$F$23,5,0),)</f>
        <v>338.04787499999998</v>
      </c>
      <c r="Q275" s="478" t="str">
        <f>IFERROR(VLOOKUP(G275,MODULY_CBA!$B$3:$I$23,6,0),"")</f>
        <v>Inkrement 2</v>
      </c>
      <c r="R275" s="382"/>
      <c r="S275" s="382"/>
      <c r="T275" s="382"/>
      <c r="U275" s="382"/>
      <c r="V275" s="382"/>
      <c r="W275" s="382"/>
      <c r="X275" s="382"/>
      <c r="Y275" s="382"/>
      <c r="Z275" s="382"/>
      <c r="AA275" s="382"/>
      <c r="AB275" s="382"/>
      <c r="AC275" s="382"/>
      <c r="AD275" s="382"/>
      <c r="AE275" s="382"/>
      <c r="AF275" s="374"/>
    </row>
    <row r="276" spans="1:32">
      <c r="A276" s="401">
        <v>274</v>
      </c>
      <c r="B276" s="401" t="s">
        <v>475</v>
      </c>
      <c r="C276" s="530" t="s">
        <v>736</v>
      </c>
      <c r="D276" s="530" t="s">
        <v>752</v>
      </c>
      <c r="E276" s="530"/>
      <c r="F276" s="389" t="s">
        <v>8</v>
      </c>
      <c r="G276" s="383" t="s">
        <v>255</v>
      </c>
      <c r="H276" s="379">
        <v>2</v>
      </c>
      <c r="I276" s="379">
        <v>5</v>
      </c>
      <c r="J276" s="379">
        <f t="shared" si="18"/>
        <v>2</v>
      </c>
      <c r="K276" s="379">
        <f t="shared" si="16"/>
        <v>10</v>
      </c>
      <c r="L276" s="643">
        <f>IFERROR(IF(B276="funkcna poziadavka",VLOOKUP(G276,MODULY_CBA!$B$3:$E$23,4,0)*H276/SUMIFS($H$3:$H$199,$G$3:$G$199,G276,$B$3:$B$199,B276),),)</f>
        <v>0.21323529411764705</v>
      </c>
      <c r="M276" s="379">
        <f>IFERROR(IF(B276="Funkcna poziadavka",VLOOKUP(G276,MODULY_CBA!$B$3:$E$23,3,0),),)</f>
        <v>0.93499999999999994</v>
      </c>
      <c r="N276" s="379">
        <f>IFERROR(IF(B276="funkcna poziadavka",VLOOKUP(G276,MODULY_CBA!$B$3:$E$23,2,0),),)</f>
        <v>1.18</v>
      </c>
      <c r="O276" s="378">
        <f t="shared" si="17"/>
        <v>11.268262499999999</v>
      </c>
      <c r="P276" s="377">
        <f>IFERROR(O276*VLOOKUP(G276,MODULY_CBA!$B$3:$F$23,5,0),)</f>
        <v>338.04787499999998</v>
      </c>
      <c r="Q276" s="478" t="str">
        <f>IFERROR(VLOOKUP(G276,MODULY_CBA!$B$3:$I$23,6,0),"")</f>
        <v>Inkrement 2</v>
      </c>
      <c r="R276" s="382"/>
      <c r="S276" s="382"/>
      <c r="T276" s="382"/>
      <c r="U276" s="382"/>
      <c r="V276" s="382"/>
      <c r="W276" s="382"/>
      <c r="X276" s="382"/>
      <c r="Y276" s="382"/>
      <c r="Z276" s="382"/>
      <c r="AA276" s="382"/>
      <c r="AB276" s="382"/>
      <c r="AC276" s="382"/>
      <c r="AD276" s="382"/>
      <c r="AE276" s="382"/>
      <c r="AF276" s="374"/>
    </row>
    <row r="277" spans="1:32">
      <c r="A277" s="401">
        <v>275</v>
      </c>
      <c r="B277" s="401" t="s">
        <v>475</v>
      </c>
      <c r="C277" s="530" t="s">
        <v>736</v>
      </c>
      <c r="D277" s="530" t="s">
        <v>753</v>
      </c>
      <c r="E277" s="530"/>
      <c r="F277" s="389" t="s">
        <v>8</v>
      </c>
      <c r="G277" s="383" t="s">
        <v>255</v>
      </c>
      <c r="H277" s="379">
        <v>2</v>
      </c>
      <c r="I277" s="379">
        <v>5</v>
      </c>
      <c r="J277" s="379">
        <f t="shared" si="18"/>
        <v>2</v>
      </c>
      <c r="K277" s="379">
        <f t="shared" si="16"/>
        <v>10</v>
      </c>
      <c r="L277" s="643">
        <f>IFERROR(IF(B277="funkcna poziadavka",VLOOKUP(G277,MODULY_CBA!$B$3:$E$23,4,0)*H277/SUMIFS($H$3:$H$199,$G$3:$G$199,G277,$B$3:$B$199,B277),),)</f>
        <v>0.21323529411764705</v>
      </c>
      <c r="M277" s="379">
        <f>IFERROR(IF(B277="Funkcna poziadavka",VLOOKUP(G277,MODULY_CBA!$B$3:$E$23,3,0),),)</f>
        <v>0.93499999999999994</v>
      </c>
      <c r="N277" s="379">
        <f>IFERROR(IF(B277="funkcna poziadavka",VLOOKUP(G277,MODULY_CBA!$B$3:$E$23,2,0),),)</f>
        <v>1.18</v>
      </c>
      <c r="O277" s="378">
        <f t="shared" si="17"/>
        <v>11.268262499999999</v>
      </c>
      <c r="P277" s="377">
        <f>IFERROR(O277*VLOOKUP(G277,MODULY_CBA!$B$3:$F$23,5,0),)</f>
        <v>338.04787499999998</v>
      </c>
      <c r="Q277" s="478" t="str">
        <f>IFERROR(VLOOKUP(G277,MODULY_CBA!$B$3:$I$23,6,0),"")</f>
        <v>Inkrement 2</v>
      </c>
      <c r="R277" s="382"/>
      <c r="S277" s="382"/>
      <c r="T277" s="382"/>
      <c r="U277" s="382"/>
      <c r="V277" s="382"/>
      <c r="W277" s="382"/>
      <c r="X277" s="382"/>
      <c r="Y277" s="382"/>
      <c r="Z277" s="382"/>
      <c r="AA277" s="382"/>
      <c r="AB277" s="382"/>
      <c r="AC277" s="382"/>
      <c r="AD277" s="382"/>
      <c r="AE277" s="382"/>
      <c r="AF277" s="374"/>
    </row>
    <row r="278" spans="1:32">
      <c r="A278" s="401">
        <v>276</v>
      </c>
      <c r="B278" s="401" t="s">
        <v>475</v>
      </c>
      <c r="C278" s="530" t="s">
        <v>736</v>
      </c>
      <c r="D278" s="530" t="s">
        <v>754</v>
      </c>
      <c r="E278" s="530"/>
      <c r="F278" s="389" t="s">
        <v>8</v>
      </c>
      <c r="G278" s="383" t="s">
        <v>255</v>
      </c>
      <c r="H278" s="379">
        <v>2</v>
      </c>
      <c r="I278" s="379">
        <v>5</v>
      </c>
      <c r="J278" s="379">
        <f t="shared" si="18"/>
        <v>2</v>
      </c>
      <c r="K278" s="379">
        <f t="shared" si="16"/>
        <v>10</v>
      </c>
      <c r="L278" s="643">
        <f>IFERROR(IF(B278="funkcna poziadavka",VLOOKUP(G278,MODULY_CBA!$B$3:$E$23,4,0)*H278/SUMIFS($H$3:$H$199,$G$3:$G$199,G278,$B$3:$B$199,B278),),)</f>
        <v>0.21323529411764705</v>
      </c>
      <c r="M278" s="379">
        <f>IFERROR(IF(B278="Funkcna poziadavka",VLOOKUP(G278,MODULY_CBA!$B$3:$E$23,3,0),),)</f>
        <v>0.93499999999999994</v>
      </c>
      <c r="N278" s="379">
        <f>IFERROR(IF(B278="funkcna poziadavka",VLOOKUP(G278,MODULY_CBA!$B$3:$E$23,2,0),),)</f>
        <v>1.18</v>
      </c>
      <c r="O278" s="378">
        <f t="shared" si="17"/>
        <v>11.268262499999999</v>
      </c>
      <c r="P278" s="377">
        <f>IFERROR(O278*VLOOKUP(G278,MODULY_CBA!$B$3:$F$23,5,0),)</f>
        <v>338.04787499999998</v>
      </c>
      <c r="Q278" s="478" t="str">
        <f>IFERROR(VLOOKUP(G278,MODULY_CBA!$B$3:$I$23,6,0),"")</f>
        <v>Inkrement 2</v>
      </c>
      <c r="R278" s="382"/>
      <c r="S278" s="382"/>
      <c r="T278" s="382"/>
      <c r="U278" s="382"/>
      <c r="V278" s="382"/>
      <c r="W278" s="382"/>
      <c r="X278" s="382"/>
      <c r="Y278" s="382"/>
      <c r="Z278" s="382"/>
      <c r="AA278" s="382"/>
      <c r="AB278" s="382"/>
      <c r="AC278" s="382"/>
      <c r="AD278" s="382"/>
      <c r="AE278" s="382"/>
      <c r="AF278" s="374"/>
    </row>
    <row r="279" spans="1:32">
      <c r="A279" s="401">
        <v>277</v>
      </c>
      <c r="B279" s="401" t="s">
        <v>475</v>
      </c>
      <c r="C279" s="530" t="s">
        <v>736</v>
      </c>
      <c r="D279" s="530" t="s">
        <v>755</v>
      </c>
      <c r="E279" s="530"/>
      <c r="F279" s="389" t="s">
        <v>8</v>
      </c>
      <c r="G279" s="383" t="s">
        <v>255</v>
      </c>
      <c r="H279" s="379">
        <v>2</v>
      </c>
      <c r="I279" s="379">
        <v>5</v>
      </c>
      <c r="J279" s="379">
        <f t="shared" si="18"/>
        <v>2</v>
      </c>
      <c r="K279" s="379">
        <f t="shared" si="16"/>
        <v>10</v>
      </c>
      <c r="L279" s="643">
        <f>IFERROR(IF(B279="funkcna poziadavka",VLOOKUP(G279,MODULY_CBA!$B$3:$E$23,4,0)*H279/SUMIFS($H$3:$H$199,$G$3:$G$199,G279,$B$3:$B$199,B279),),)</f>
        <v>0.21323529411764705</v>
      </c>
      <c r="M279" s="379">
        <f>IFERROR(IF(B279="Funkcna poziadavka",VLOOKUP(G279,MODULY_CBA!$B$3:$E$23,3,0),),)</f>
        <v>0.93499999999999994</v>
      </c>
      <c r="N279" s="379">
        <f>IFERROR(IF(B279="funkcna poziadavka",VLOOKUP(G279,MODULY_CBA!$B$3:$E$23,2,0),),)</f>
        <v>1.18</v>
      </c>
      <c r="O279" s="378">
        <f t="shared" si="17"/>
        <v>11.268262499999999</v>
      </c>
      <c r="P279" s="377">
        <f>IFERROR(O279*VLOOKUP(G279,MODULY_CBA!$B$3:$F$23,5,0),)</f>
        <v>338.04787499999998</v>
      </c>
      <c r="Q279" s="478" t="str">
        <f>IFERROR(VLOOKUP(G279,MODULY_CBA!$B$3:$I$23,6,0),"")</f>
        <v>Inkrement 2</v>
      </c>
      <c r="R279" s="382"/>
      <c r="S279" s="382"/>
      <c r="T279" s="382"/>
      <c r="U279" s="382"/>
      <c r="V279" s="382"/>
      <c r="W279" s="382"/>
      <c r="X279" s="382"/>
      <c r="Y279" s="382"/>
      <c r="Z279" s="382"/>
      <c r="AA279" s="382"/>
      <c r="AB279" s="382"/>
      <c r="AC279" s="382"/>
      <c r="AD279" s="382"/>
      <c r="AE279" s="382"/>
      <c r="AF279" s="374"/>
    </row>
    <row r="280" spans="1:32">
      <c r="A280" s="401">
        <v>278</v>
      </c>
      <c r="B280" s="401" t="s">
        <v>475</v>
      </c>
      <c r="C280" s="530" t="s">
        <v>736</v>
      </c>
      <c r="D280" s="530" t="s">
        <v>756</v>
      </c>
      <c r="E280" s="530"/>
      <c r="F280" s="389" t="s">
        <v>8</v>
      </c>
      <c r="G280" s="383" t="s">
        <v>255</v>
      </c>
      <c r="H280" s="379">
        <v>2</v>
      </c>
      <c r="I280" s="379">
        <v>5</v>
      </c>
      <c r="J280" s="379">
        <f t="shared" si="18"/>
        <v>2</v>
      </c>
      <c r="K280" s="379">
        <f t="shared" si="16"/>
        <v>10</v>
      </c>
      <c r="L280" s="643">
        <f>IFERROR(IF(B280="funkcna poziadavka",VLOOKUP(G280,MODULY_CBA!$B$3:$E$23,4,0)*H280/SUMIFS($H$3:$H$199,$G$3:$G$199,G280,$B$3:$B$199,B280),),)</f>
        <v>0.21323529411764705</v>
      </c>
      <c r="M280" s="379">
        <f>IFERROR(IF(B280="Funkcna poziadavka",VLOOKUP(G280,MODULY_CBA!$B$3:$E$23,3,0),),)</f>
        <v>0.93499999999999994</v>
      </c>
      <c r="N280" s="379">
        <f>IFERROR(IF(B280="funkcna poziadavka",VLOOKUP(G280,MODULY_CBA!$B$3:$E$23,2,0),),)</f>
        <v>1.18</v>
      </c>
      <c r="O280" s="378">
        <f t="shared" si="17"/>
        <v>11.268262499999999</v>
      </c>
      <c r="P280" s="377">
        <f>IFERROR(O280*VLOOKUP(G280,MODULY_CBA!$B$3:$F$23,5,0),)</f>
        <v>338.04787499999998</v>
      </c>
      <c r="Q280" s="478" t="str">
        <f>IFERROR(VLOOKUP(G280,MODULY_CBA!$B$3:$I$23,6,0),"")</f>
        <v>Inkrement 2</v>
      </c>
      <c r="R280" s="382"/>
      <c r="S280" s="382"/>
      <c r="T280" s="382"/>
      <c r="U280" s="382"/>
      <c r="V280" s="382"/>
      <c r="W280" s="382"/>
      <c r="X280" s="382"/>
      <c r="Y280" s="382"/>
      <c r="Z280" s="382"/>
      <c r="AA280" s="382"/>
      <c r="AB280" s="382"/>
      <c r="AC280" s="382"/>
      <c r="AD280" s="382"/>
      <c r="AE280" s="382"/>
      <c r="AF280" s="374"/>
    </row>
    <row r="281" spans="1:32">
      <c r="A281" s="401">
        <v>279</v>
      </c>
      <c r="B281" s="401" t="s">
        <v>475</v>
      </c>
      <c r="C281" s="530" t="s">
        <v>736</v>
      </c>
      <c r="D281" s="530" t="s">
        <v>757</v>
      </c>
      <c r="E281" s="530"/>
      <c r="F281" s="389" t="s">
        <v>8</v>
      </c>
      <c r="G281" s="383" t="s">
        <v>255</v>
      </c>
      <c r="H281" s="379">
        <v>2</v>
      </c>
      <c r="I281" s="379">
        <v>5</v>
      </c>
      <c r="J281" s="379">
        <f t="shared" si="18"/>
        <v>2</v>
      </c>
      <c r="K281" s="379">
        <f t="shared" si="16"/>
        <v>10</v>
      </c>
      <c r="L281" s="643">
        <f>IFERROR(IF(B281="funkcna poziadavka",VLOOKUP(G281,MODULY_CBA!$B$3:$E$23,4,0)*H281/SUMIFS($H$3:$H$199,$G$3:$G$199,G281,$B$3:$B$199,B281),),)</f>
        <v>0.21323529411764705</v>
      </c>
      <c r="M281" s="379">
        <f>IFERROR(IF(B281="Funkcna poziadavka",VLOOKUP(G281,MODULY_CBA!$B$3:$E$23,3,0),),)</f>
        <v>0.93499999999999994</v>
      </c>
      <c r="N281" s="379">
        <f>IFERROR(IF(B281="funkcna poziadavka",VLOOKUP(G281,MODULY_CBA!$B$3:$E$23,2,0),),)</f>
        <v>1.18</v>
      </c>
      <c r="O281" s="378">
        <f t="shared" si="17"/>
        <v>11.268262499999999</v>
      </c>
      <c r="P281" s="377">
        <f>IFERROR(O281*VLOOKUP(G281,MODULY_CBA!$B$3:$F$23,5,0),)</f>
        <v>338.04787499999998</v>
      </c>
      <c r="Q281" s="478" t="str">
        <f>IFERROR(VLOOKUP(G281,MODULY_CBA!$B$3:$I$23,6,0),"")</f>
        <v>Inkrement 2</v>
      </c>
      <c r="R281" s="382"/>
      <c r="S281" s="382"/>
      <c r="T281" s="382"/>
      <c r="U281" s="382"/>
      <c r="V281" s="382"/>
      <c r="W281" s="382"/>
      <c r="X281" s="382"/>
      <c r="Y281" s="382"/>
      <c r="Z281" s="382"/>
      <c r="AA281" s="382"/>
      <c r="AB281" s="382"/>
      <c r="AC281" s="382"/>
      <c r="AD281" s="382"/>
      <c r="AE281" s="382"/>
      <c r="AF281" s="374"/>
    </row>
    <row r="282" spans="1:32">
      <c r="A282" s="401">
        <v>280</v>
      </c>
      <c r="B282" s="401" t="s">
        <v>475</v>
      </c>
      <c r="C282" s="530" t="s">
        <v>736</v>
      </c>
      <c r="D282" s="530" t="s">
        <v>758</v>
      </c>
      <c r="E282" s="530"/>
      <c r="F282" s="389" t="s">
        <v>8</v>
      </c>
      <c r="G282" s="383" t="s">
        <v>255</v>
      </c>
      <c r="H282" s="379">
        <v>2</v>
      </c>
      <c r="I282" s="379">
        <v>5</v>
      </c>
      <c r="J282" s="379">
        <f t="shared" si="18"/>
        <v>2</v>
      </c>
      <c r="K282" s="379">
        <f t="shared" si="16"/>
        <v>10</v>
      </c>
      <c r="L282" s="643">
        <f>IFERROR(IF(B282="funkcna poziadavka",VLOOKUP(G282,MODULY_CBA!$B$3:$E$23,4,0)*H282/SUMIFS($H$3:$H$199,$G$3:$G$199,G282,$B$3:$B$199,B282),),)</f>
        <v>0.21323529411764705</v>
      </c>
      <c r="M282" s="379">
        <f>IFERROR(IF(B282="Funkcna poziadavka",VLOOKUP(G282,MODULY_CBA!$B$3:$E$23,3,0),),)</f>
        <v>0.93499999999999994</v>
      </c>
      <c r="N282" s="379">
        <f>IFERROR(IF(B282="funkcna poziadavka",VLOOKUP(G282,MODULY_CBA!$B$3:$E$23,2,0),),)</f>
        <v>1.18</v>
      </c>
      <c r="O282" s="378">
        <f t="shared" si="17"/>
        <v>11.268262499999999</v>
      </c>
      <c r="P282" s="377">
        <f>IFERROR(O282*VLOOKUP(G282,MODULY_CBA!$B$3:$F$23,5,0),)</f>
        <v>338.04787499999998</v>
      </c>
      <c r="Q282" s="478" t="str">
        <f>IFERROR(VLOOKUP(G282,MODULY_CBA!$B$3:$I$23,6,0),"")</f>
        <v>Inkrement 2</v>
      </c>
      <c r="R282" s="382"/>
      <c r="S282" s="382"/>
      <c r="T282" s="382"/>
      <c r="U282" s="382"/>
      <c r="V282" s="382"/>
      <c r="W282" s="382"/>
      <c r="X282" s="382"/>
      <c r="Y282" s="382"/>
      <c r="Z282" s="382"/>
      <c r="AA282" s="382"/>
      <c r="AB282" s="382"/>
      <c r="AC282" s="382"/>
      <c r="AD282" s="382"/>
      <c r="AE282" s="382"/>
      <c r="AF282" s="374"/>
    </row>
    <row r="283" spans="1:32">
      <c r="A283" s="401">
        <v>281</v>
      </c>
      <c r="B283" s="401" t="s">
        <v>475</v>
      </c>
      <c r="C283" s="530" t="s">
        <v>736</v>
      </c>
      <c r="D283" s="530" t="s">
        <v>759</v>
      </c>
      <c r="E283" s="530"/>
      <c r="F283" s="389" t="s">
        <v>8</v>
      </c>
      <c r="G283" s="383" t="s">
        <v>255</v>
      </c>
      <c r="H283" s="379">
        <v>2</v>
      </c>
      <c r="I283" s="379">
        <v>5</v>
      </c>
      <c r="J283" s="379">
        <f t="shared" si="18"/>
        <v>2</v>
      </c>
      <c r="K283" s="379">
        <f t="shared" si="16"/>
        <v>10</v>
      </c>
      <c r="L283" s="643">
        <f>IFERROR(IF(B283="funkcna poziadavka",VLOOKUP(G283,MODULY_CBA!$B$3:$E$23,4,0)*H283/SUMIFS($H$3:$H$199,$G$3:$G$199,G283,$B$3:$B$199,B283),),)</f>
        <v>0.21323529411764705</v>
      </c>
      <c r="M283" s="379">
        <f>IFERROR(IF(B283="Funkcna poziadavka",VLOOKUP(G283,MODULY_CBA!$B$3:$E$23,3,0),),)</f>
        <v>0.93499999999999994</v>
      </c>
      <c r="N283" s="379">
        <f>IFERROR(IF(B283="funkcna poziadavka",VLOOKUP(G283,MODULY_CBA!$B$3:$E$23,2,0),),)</f>
        <v>1.18</v>
      </c>
      <c r="O283" s="378">
        <f t="shared" si="17"/>
        <v>11.268262499999999</v>
      </c>
      <c r="P283" s="377">
        <f>IFERROR(O283*VLOOKUP(G283,MODULY_CBA!$B$3:$F$23,5,0),)</f>
        <v>338.04787499999998</v>
      </c>
      <c r="Q283" s="478" t="str">
        <f>IFERROR(VLOOKUP(G283,MODULY_CBA!$B$3:$I$23,6,0),"")</f>
        <v>Inkrement 2</v>
      </c>
      <c r="R283" s="382"/>
      <c r="S283" s="382"/>
      <c r="T283" s="382"/>
      <c r="U283" s="382"/>
      <c r="V283" s="382"/>
      <c r="W283" s="382"/>
      <c r="X283" s="382"/>
      <c r="Y283" s="382"/>
      <c r="Z283" s="382"/>
      <c r="AA283" s="382"/>
      <c r="AB283" s="382"/>
      <c r="AC283" s="382"/>
      <c r="AD283" s="382"/>
      <c r="AE283" s="382"/>
      <c r="AF283" s="374"/>
    </row>
    <row r="284" spans="1:32">
      <c r="A284" s="401">
        <v>282</v>
      </c>
      <c r="B284" s="401" t="s">
        <v>475</v>
      </c>
      <c r="C284" s="530" t="s">
        <v>736</v>
      </c>
      <c r="D284" s="530" t="s">
        <v>760</v>
      </c>
      <c r="E284" s="530"/>
      <c r="F284" s="389" t="s">
        <v>8</v>
      </c>
      <c r="G284" s="383" t="s">
        <v>255</v>
      </c>
      <c r="H284" s="379">
        <v>2</v>
      </c>
      <c r="I284" s="379">
        <v>5</v>
      </c>
      <c r="J284" s="379">
        <f t="shared" si="18"/>
        <v>2</v>
      </c>
      <c r="K284" s="379">
        <f t="shared" si="16"/>
        <v>10</v>
      </c>
      <c r="L284" s="643">
        <f>IFERROR(IF(B284="funkcna poziadavka",VLOOKUP(G284,MODULY_CBA!$B$3:$E$23,4,0)*H284/SUMIFS($H$3:$H$199,$G$3:$G$199,G284,$B$3:$B$199,B284),),)</f>
        <v>0.21323529411764705</v>
      </c>
      <c r="M284" s="379">
        <f>IFERROR(IF(B284="Funkcna poziadavka",VLOOKUP(G284,MODULY_CBA!$B$3:$E$23,3,0),),)</f>
        <v>0.93499999999999994</v>
      </c>
      <c r="N284" s="379">
        <f>IFERROR(IF(B284="funkcna poziadavka",VLOOKUP(G284,MODULY_CBA!$B$3:$E$23,2,0),),)</f>
        <v>1.18</v>
      </c>
      <c r="O284" s="378">
        <f t="shared" si="17"/>
        <v>11.268262499999999</v>
      </c>
      <c r="P284" s="377">
        <f>IFERROR(O284*VLOOKUP(G284,MODULY_CBA!$B$3:$F$23,5,0),)</f>
        <v>338.04787499999998</v>
      </c>
      <c r="Q284" s="478" t="str">
        <f>IFERROR(VLOOKUP(G284,MODULY_CBA!$B$3:$I$23,6,0),"")</f>
        <v>Inkrement 2</v>
      </c>
      <c r="R284" s="382"/>
      <c r="S284" s="382"/>
      <c r="T284" s="382"/>
      <c r="U284" s="382"/>
      <c r="V284" s="382"/>
      <c r="W284" s="382"/>
      <c r="X284" s="382"/>
      <c r="Y284" s="382"/>
      <c r="Z284" s="382"/>
      <c r="AA284" s="382"/>
      <c r="AB284" s="382"/>
      <c r="AC284" s="382"/>
      <c r="AD284" s="382"/>
      <c r="AE284" s="382"/>
      <c r="AF284" s="374"/>
    </row>
    <row r="285" spans="1:32">
      <c r="A285" s="401">
        <v>283</v>
      </c>
      <c r="B285" s="401" t="s">
        <v>475</v>
      </c>
      <c r="C285" s="530" t="s">
        <v>736</v>
      </c>
      <c r="D285" s="530" t="s">
        <v>761</v>
      </c>
      <c r="E285" s="530"/>
      <c r="F285" s="389" t="s">
        <v>8</v>
      </c>
      <c r="G285" s="383" t="s">
        <v>255</v>
      </c>
      <c r="H285" s="379">
        <v>2</v>
      </c>
      <c r="I285" s="379">
        <v>5</v>
      </c>
      <c r="J285" s="379">
        <f t="shared" si="18"/>
        <v>2</v>
      </c>
      <c r="K285" s="379">
        <f t="shared" si="16"/>
        <v>10</v>
      </c>
      <c r="L285" s="643">
        <f>IFERROR(IF(B285="funkcna poziadavka",VLOOKUP(G285,MODULY_CBA!$B$3:$E$23,4,0)*H285/SUMIFS($H$3:$H$199,$G$3:$G$199,G285,$B$3:$B$199,B285),),)</f>
        <v>0.21323529411764705</v>
      </c>
      <c r="M285" s="379">
        <f>IFERROR(IF(B285="Funkcna poziadavka",VLOOKUP(G285,MODULY_CBA!$B$3:$E$23,3,0),),)</f>
        <v>0.93499999999999994</v>
      </c>
      <c r="N285" s="379">
        <f>IFERROR(IF(B285="funkcna poziadavka",VLOOKUP(G285,MODULY_CBA!$B$3:$E$23,2,0),),)</f>
        <v>1.18</v>
      </c>
      <c r="O285" s="378">
        <f t="shared" si="17"/>
        <v>11.268262499999999</v>
      </c>
      <c r="P285" s="377">
        <f>IFERROR(O285*VLOOKUP(G285,MODULY_CBA!$B$3:$F$23,5,0),)</f>
        <v>338.04787499999998</v>
      </c>
      <c r="Q285" s="478" t="str">
        <f>IFERROR(VLOOKUP(G285,MODULY_CBA!$B$3:$I$23,6,0),"")</f>
        <v>Inkrement 2</v>
      </c>
      <c r="R285" s="382"/>
      <c r="S285" s="382"/>
      <c r="T285" s="382"/>
      <c r="U285" s="382"/>
      <c r="V285" s="382"/>
      <c r="W285" s="382"/>
      <c r="X285" s="382"/>
      <c r="Y285" s="382"/>
      <c r="Z285" s="382"/>
      <c r="AA285" s="382"/>
      <c r="AB285" s="382"/>
      <c r="AC285" s="382"/>
      <c r="AD285" s="382"/>
      <c r="AE285" s="382"/>
      <c r="AF285" s="374"/>
    </row>
    <row r="286" spans="1:32">
      <c r="A286" s="401">
        <v>284</v>
      </c>
      <c r="B286" s="401" t="s">
        <v>475</v>
      </c>
      <c r="C286" s="530" t="s">
        <v>736</v>
      </c>
      <c r="D286" s="530" t="s">
        <v>762</v>
      </c>
      <c r="E286" s="530"/>
      <c r="F286" s="389" t="s">
        <v>8</v>
      </c>
      <c r="G286" s="383" t="s">
        <v>255</v>
      </c>
      <c r="H286" s="379">
        <v>2</v>
      </c>
      <c r="I286" s="379">
        <v>5</v>
      </c>
      <c r="J286" s="379">
        <f t="shared" si="18"/>
        <v>2</v>
      </c>
      <c r="K286" s="379">
        <f t="shared" si="16"/>
        <v>10</v>
      </c>
      <c r="L286" s="643">
        <f>IFERROR(IF(B286="funkcna poziadavka",VLOOKUP(G286,MODULY_CBA!$B$3:$E$23,4,0)*H286/SUMIFS($H$3:$H$199,$G$3:$G$199,G286,$B$3:$B$199,B286),),)</f>
        <v>0.21323529411764705</v>
      </c>
      <c r="M286" s="379">
        <f>IFERROR(IF(B286="Funkcna poziadavka",VLOOKUP(G286,MODULY_CBA!$B$3:$E$23,3,0),),)</f>
        <v>0.93499999999999994</v>
      </c>
      <c r="N286" s="379">
        <f>IFERROR(IF(B286="funkcna poziadavka",VLOOKUP(G286,MODULY_CBA!$B$3:$E$23,2,0),),)</f>
        <v>1.18</v>
      </c>
      <c r="O286" s="378">
        <f t="shared" si="17"/>
        <v>11.268262499999999</v>
      </c>
      <c r="P286" s="377">
        <f>IFERROR(O286*VLOOKUP(G286,MODULY_CBA!$B$3:$F$23,5,0),)</f>
        <v>338.04787499999998</v>
      </c>
      <c r="Q286" s="478" t="str">
        <f>IFERROR(VLOOKUP(G286,MODULY_CBA!$B$3:$I$23,6,0),"")</f>
        <v>Inkrement 2</v>
      </c>
      <c r="R286" s="382"/>
      <c r="S286" s="382"/>
      <c r="T286" s="382"/>
      <c r="U286" s="382"/>
      <c r="V286" s="382"/>
      <c r="W286" s="382"/>
      <c r="X286" s="382"/>
      <c r="Y286" s="382"/>
      <c r="Z286" s="382"/>
      <c r="AA286" s="382"/>
      <c r="AB286" s="382"/>
      <c r="AC286" s="382"/>
      <c r="AD286" s="382"/>
      <c r="AE286" s="382"/>
      <c r="AF286" s="374"/>
    </row>
    <row r="287" spans="1:32">
      <c r="A287" s="401">
        <v>285</v>
      </c>
      <c r="B287" s="401" t="s">
        <v>475</v>
      </c>
      <c r="C287" s="530" t="s">
        <v>736</v>
      </c>
      <c r="D287" s="530" t="s">
        <v>763</v>
      </c>
      <c r="E287" s="530"/>
      <c r="F287" s="389" t="s">
        <v>8</v>
      </c>
      <c r="G287" s="383" t="s">
        <v>255</v>
      </c>
      <c r="H287" s="379">
        <v>2</v>
      </c>
      <c r="I287" s="379">
        <v>5</v>
      </c>
      <c r="J287" s="379">
        <f t="shared" si="18"/>
        <v>2</v>
      </c>
      <c r="K287" s="379">
        <f t="shared" si="16"/>
        <v>10</v>
      </c>
      <c r="L287" s="643">
        <f>IFERROR(IF(B287="funkcna poziadavka",VLOOKUP(G287,MODULY_CBA!$B$3:$E$23,4,0)*H287/SUMIFS($H$3:$H$199,$G$3:$G$199,G287,$B$3:$B$199,B287),),)</f>
        <v>0.21323529411764705</v>
      </c>
      <c r="M287" s="379">
        <f>IFERROR(IF(B287="Funkcna poziadavka",VLOOKUP(G287,MODULY_CBA!$B$3:$E$23,3,0),),)</f>
        <v>0.93499999999999994</v>
      </c>
      <c r="N287" s="379">
        <f>IFERROR(IF(B287="funkcna poziadavka",VLOOKUP(G287,MODULY_CBA!$B$3:$E$23,2,0),),)</f>
        <v>1.18</v>
      </c>
      <c r="O287" s="378">
        <f t="shared" si="17"/>
        <v>11.268262499999999</v>
      </c>
      <c r="P287" s="377">
        <f>IFERROR(O287*VLOOKUP(G287,MODULY_CBA!$B$3:$F$23,5,0),)</f>
        <v>338.04787499999998</v>
      </c>
      <c r="Q287" s="478" t="str">
        <f>IFERROR(VLOOKUP(G287,MODULY_CBA!$B$3:$I$23,6,0),"")</f>
        <v>Inkrement 2</v>
      </c>
      <c r="R287" s="382"/>
      <c r="S287" s="382"/>
      <c r="T287" s="382"/>
      <c r="U287" s="382"/>
      <c r="V287" s="382"/>
      <c r="W287" s="382"/>
      <c r="X287" s="382"/>
      <c r="Y287" s="382"/>
      <c r="Z287" s="382"/>
      <c r="AA287" s="382"/>
      <c r="AB287" s="382"/>
      <c r="AC287" s="382"/>
      <c r="AD287" s="382"/>
      <c r="AE287" s="382"/>
      <c r="AF287" s="374"/>
    </row>
    <row r="288" spans="1:32">
      <c r="A288" s="401">
        <v>286</v>
      </c>
      <c r="B288" s="401" t="s">
        <v>475</v>
      </c>
      <c r="C288" s="530" t="s">
        <v>736</v>
      </c>
      <c r="D288" s="530" t="s">
        <v>764</v>
      </c>
      <c r="E288" s="530"/>
      <c r="F288" s="389" t="s">
        <v>8</v>
      </c>
      <c r="G288" s="383" t="s">
        <v>255</v>
      </c>
      <c r="H288" s="379">
        <v>2</v>
      </c>
      <c r="I288" s="379">
        <v>5</v>
      </c>
      <c r="J288" s="379">
        <f t="shared" si="18"/>
        <v>2</v>
      </c>
      <c r="K288" s="379">
        <f t="shared" si="16"/>
        <v>10</v>
      </c>
      <c r="L288" s="643">
        <f>IFERROR(IF(B288="funkcna poziadavka",VLOOKUP(G288,MODULY_CBA!$B$3:$E$23,4,0)*H288/SUMIFS($H$3:$H$199,$G$3:$G$199,G288,$B$3:$B$199,B288),),)</f>
        <v>0.21323529411764705</v>
      </c>
      <c r="M288" s="379">
        <f>IFERROR(IF(B288="Funkcna poziadavka",VLOOKUP(G288,MODULY_CBA!$B$3:$E$23,3,0),),)</f>
        <v>0.93499999999999994</v>
      </c>
      <c r="N288" s="379">
        <f>IFERROR(IF(B288="funkcna poziadavka",VLOOKUP(G288,MODULY_CBA!$B$3:$E$23,2,0),),)</f>
        <v>1.18</v>
      </c>
      <c r="O288" s="378">
        <f t="shared" si="17"/>
        <v>11.268262499999999</v>
      </c>
      <c r="P288" s="377">
        <f>IFERROR(O288*VLOOKUP(G288,MODULY_CBA!$B$3:$F$23,5,0),)</f>
        <v>338.04787499999998</v>
      </c>
      <c r="Q288" s="478" t="str">
        <f>IFERROR(VLOOKUP(G288,MODULY_CBA!$B$3:$I$23,6,0),"")</f>
        <v>Inkrement 2</v>
      </c>
      <c r="R288" s="382"/>
      <c r="S288" s="382"/>
      <c r="T288" s="382"/>
      <c r="U288" s="382"/>
      <c r="V288" s="382"/>
      <c r="W288" s="382"/>
      <c r="X288" s="382"/>
      <c r="Y288" s="382"/>
      <c r="Z288" s="382"/>
      <c r="AA288" s="382"/>
      <c r="AB288" s="382"/>
      <c r="AC288" s="382"/>
      <c r="AD288" s="382"/>
      <c r="AE288" s="382"/>
      <c r="AF288" s="374"/>
    </row>
    <row r="289" spans="1:32">
      <c r="A289" s="401">
        <v>287</v>
      </c>
      <c r="B289" s="401" t="s">
        <v>475</v>
      </c>
      <c r="C289" s="530" t="s">
        <v>736</v>
      </c>
      <c r="D289" s="530" t="s">
        <v>765</v>
      </c>
      <c r="E289" s="530"/>
      <c r="F289" s="389" t="s">
        <v>8</v>
      </c>
      <c r="G289" s="383" t="s">
        <v>255</v>
      </c>
      <c r="H289" s="379">
        <v>2</v>
      </c>
      <c r="I289" s="379">
        <v>5</v>
      </c>
      <c r="J289" s="379">
        <f t="shared" si="18"/>
        <v>2</v>
      </c>
      <c r="K289" s="379">
        <f t="shared" si="16"/>
        <v>10</v>
      </c>
      <c r="L289" s="643">
        <f>IFERROR(IF(B289="funkcna poziadavka",VLOOKUP(G289,MODULY_CBA!$B$3:$E$23,4,0)*H289/SUMIFS($H$3:$H$199,$G$3:$G$199,G289,$B$3:$B$199,B289),),)</f>
        <v>0.21323529411764705</v>
      </c>
      <c r="M289" s="379">
        <f>IFERROR(IF(B289="Funkcna poziadavka",VLOOKUP(G289,MODULY_CBA!$B$3:$E$23,3,0),),)</f>
        <v>0.93499999999999994</v>
      </c>
      <c r="N289" s="379">
        <f>IFERROR(IF(B289="funkcna poziadavka",VLOOKUP(G289,MODULY_CBA!$B$3:$E$23,2,0),),)</f>
        <v>1.18</v>
      </c>
      <c r="O289" s="378">
        <f t="shared" si="17"/>
        <v>11.268262499999999</v>
      </c>
      <c r="P289" s="377">
        <f>IFERROR(O289*VLOOKUP(G289,MODULY_CBA!$B$3:$F$23,5,0),)</f>
        <v>338.04787499999998</v>
      </c>
      <c r="Q289" s="478" t="str">
        <f>IFERROR(VLOOKUP(G289,MODULY_CBA!$B$3:$I$23,6,0),"")</f>
        <v>Inkrement 2</v>
      </c>
      <c r="R289" s="382"/>
      <c r="S289" s="382"/>
      <c r="T289" s="382"/>
      <c r="U289" s="382"/>
      <c r="V289" s="382"/>
      <c r="W289" s="382"/>
      <c r="X289" s="382"/>
      <c r="Y289" s="382"/>
      <c r="Z289" s="382"/>
      <c r="AA289" s="382"/>
      <c r="AB289" s="382"/>
      <c r="AC289" s="382"/>
      <c r="AD289" s="382"/>
      <c r="AE289" s="382"/>
      <c r="AF289" s="374"/>
    </row>
    <row r="290" spans="1:32">
      <c r="A290" s="401">
        <v>288</v>
      </c>
      <c r="B290" s="401" t="s">
        <v>475</v>
      </c>
      <c r="C290" s="530" t="s">
        <v>736</v>
      </c>
      <c r="D290" s="530" t="s">
        <v>766</v>
      </c>
      <c r="E290" s="530"/>
      <c r="F290" s="389" t="s">
        <v>8</v>
      </c>
      <c r="G290" s="383" t="s">
        <v>255</v>
      </c>
      <c r="H290" s="379">
        <v>2</v>
      </c>
      <c r="I290" s="379">
        <v>5</v>
      </c>
      <c r="J290" s="379">
        <f t="shared" si="18"/>
        <v>2</v>
      </c>
      <c r="K290" s="379">
        <f t="shared" si="16"/>
        <v>10</v>
      </c>
      <c r="L290" s="643">
        <f>IFERROR(IF(B290="funkcna poziadavka",VLOOKUP(G290,MODULY_CBA!$B$3:$E$23,4,0)*H290/SUMIFS($H$3:$H$199,$G$3:$G$199,G290,$B$3:$B$199,B290),),)</f>
        <v>0.21323529411764705</v>
      </c>
      <c r="M290" s="379">
        <f>IFERROR(IF(B290="Funkcna poziadavka",VLOOKUP(G290,MODULY_CBA!$B$3:$E$23,3,0),),)</f>
        <v>0.93499999999999994</v>
      </c>
      <c r="N290" s="379">
        <f>IFERROR(IF(B290="funkcna poziadavka",VLOOKUP(G290,MODULY_CBA!$B$3:$E$23,2,0),),)</f>
        <v>1.18</v>
      </c>
      <c r="O290" s="378">
        <f t="shared" si="17"/>
        <v>11.268262499999999</v>
      </c>
      <c r="P290" s="377">
        <f>IFERROR(O290*VLOOKUP(G290,MODULY_CBA!$B$3:$F$23,5,0),)</f>
        <v>338.04787499999998</v>
      </c>
      <c r="Q290" s="478" t="str">
        <f>IFERROR(VLOOKUP(G290,MODULY_CBA!$B$3:$I$23,6,0),"")</f>
        <v>Inkrement 2</v>
      </c>
      <c r="R290" s="382"/>
      <c r="S290" s="382"/>
      <c r="T290" s="382"/>
      <c r="U290" s="382"/>
      <c r="V290" s="382"/>
      <c r="W290" s="382"/>
      <c r="X290" s="382"/>
      <c r="Y290" s="382"/>
      <c r="Z290" s="382"/>
      <c r="AA290" s="382"/>
      <c r="AB290" s="382"/>
      <c r="AC290" s="382"/>
      <c r="AD290" s="382"/>
      <c r="AE290" s="382"/>
      <c r="AF290" s="374"/>
    </row>
    <row r="291" spans="1:32">
      <c r="A291" s="401">
        <v>289</v>
      </c>
      <c r="B291" s="401" t="s">
        <v>475</v>
      </c>
      <c r="C291" s="530" t="s">
        <v>736</v>
      </c>
      <c r="D291" s="530" t="s">
        <v>767</v>
      </c>
      <c r="E291" s="530"/>
      <c r="F291" s="389" t="s">
        <v>8</v>
      </c>
      <c r="G291" s="383" t="s">
        <v>255</v>
      </c>
      <c r="H291" s="379">
        <v>2</v>
      </c>
      <c r="I291" s="379">
        <v>5</v>
      </c>
      <c r="J291" s="379">
        <f t="shared" si="18"/>
        <v>2</v>
      </c>
      <c r="K291" s="379">
        <f t="shared" si="16"/>
        <v>10</v>
      </c>
      <c r="L291" s="643">
        <f>IFERROR(IF(B291="funkcna poziadavka",VLOOKUP(G291,MODULY_CBA!$B$3:$E$23,4,0)*H291/SUMIFS($H$3:$H$199,$G$3:$G$199,G291,$B$3:$B$199,B291),),)</f>
        <v>0.21323529411764705</v>
      </c>
      <c r="M291" s="379">
        <f>IFERROR(IF(B291="Funkcna poziadavka",VLOOKUP(G291,MODULY_CBA!$B$3:$E$23,3,0),),)</f>
        <v>0.93499999999999994</v>
      </c>
      <c r="N291" s="379">
        <f>IFERROR(IF(B291="funkcna poziadavka",VLOOKUP(G291,MODULY_CBA!$B$3:$E$23,2,0),),)</f>
        <v>1.18</v>
      </c>
      <c r="O291" s="378">
        <f t="shared" si="17"/>
        <v>11.268262499999999</v>
      </c>
      <c r="P291" s="377">
        <f>IFERROR(O291*VLOOKUP(G291,MODULY_CBA!$B$3:$F$23,5,0),)</f>
        <v>338.04787499999998</v>
      </c>
      <c r="Q291" s="478" t="str">
        <f>IFERROR(VLOOKUP(G291,MODULY_CBA!$B$3:$I$23,6,0),"")</f>
        <v>Inkrement 2</v>
      </c>
      <c r="R291" s="382"/>
      <c r="S291" s="382"/>
      <c r="T291" s="382"/>
      <c r="U291" s="382"/>
      <c r="V291" s="382"/>
      <c r="W291" s="382"/>
      <c r="X291" s="382"/>
      <c r="Y291" s="382"/>
      <c r="Z291" s="382"/>
      <c r="AA291" s="382"/>
      <c r="AB291" s="382"/>
      <c r="AC291" s="382"/>
      <c r="AD291" s="382"/>
      <c r="AE291" s="382"/>
      <c r="AF291" s="374"/>
    </row>
    <row r="292" spans="1:32">
      <c r="A292" s="401">
        <v>290</v>
      </c>
      <c r="B292" s="401" t="s">
        <v>475</v>
      </c>
      <c r="C292" s="530" t="s">
        <v>736</v>
      </c>
      <c r="D292" s="530" t="s">
        <v>768</v>
      </c>
      <c r="E292" s="530"/>
      <c r="F292" s="389" t="s">
        <v>8</v>
      </c>
      <c r="G292" s="383" t="s">
        <v>255</v>
      </c>
      <c r="H292" s="379">
        <v>2</v>
      </c>
      <c r="I292" s="379">
        <v>5</v>
      </c>
      <c r="J292" s="379">
        <f t="shared" si="18"/>
        <v>2</v>
      </c>
      <c r="K292" s="379">
        <f t="shared" si="16"/>
        <v>10</v>
      </c>
      <c r="L292" s="643">
        <f>IFERROR(IF(B292="funkcna poziadavka",VLOOKUP(G292,MODULY_CBA!$B$3:$E$23,4,0)*H292/SUMIFS($H$3:$H$199,$G$3:$G$199,G292,$B$3:$B$199,B292),),)</f>
        <v>0.21323529411764705</v>
      </c>
      <c r="M292" s="379">
        <f>IFERROR(IF(B292="Funkcna poziadavka",VLOOKUP(G292,MODULY_CBA!$B$3:$E$23,3,0),),)</f>
        <v>0.93499999999999994</v>
      </c>
      <c r="N292" s="379">
        <f>IFERROR(IF(B292="funkcna poziadavka",VLOOKUP(G292,MODULY_CBA!$B$3:$E$23,2,0),),)</f>
        <v>1.18</v>
      </c>
      <c r="O292" s="378">
        <f t="shared" si="17"/>
        <v>11.268262499999999</v>
      </c>
      <c r="P292" s="377">
        <f>IFERROR(O292*VLOOKUP(G292,MODULY_CBA!$B$3:$F$23,5,0),)</f>
        <v>338.04787499999998</v>
      </c>
      <c r="Q292" s="478" t="str">
        <f>IFERROR(VLOOKUP(G292,MODULY_CBA!$B$3:$I$23,6,0),"")</f>
        <v>Inkrement 2</v>
      </c>
      <c r="R292" s="382"/>
      <c r="S292" s="382"/>
      <c r="T292" s="382"/>
      <c r="U292" s="382"/>
      <c r="V292" s="382"/>
      <c r="W292" s="382"/>
      <c r="X292" s="382"/>
      <c r="Y292" s="382"/>
      <c r="Z292" s="382"/>
      <c r="AA292" s="382"/>
      <c r="AB292" s="382"/>
      <c r="AC292" s="382"/>
      <c r="AD292" s="382"/>
      <c r="AE292" s="382"/>
      <c r="AF292" s="374"/>
    </row>
    <row r="293" spans="1:32">
      <c r="A293" s="401">
        <v>291</v>
      </c>
      <c r="B293" s="401" t="s">
        <v>475</v>
      </c>
      <c r="C293" s="530" t="s">
        <v>736</v>
      </c>
      <c r="D293" s="530" t="s">
        <v>769</v>
      </c>
      <c r="E293" s="530"/>
      <c r="F293" s="389" t="s">
        <v>8</v>
      </c>
      <c r="G293" s="383" t="s">
        <v>255</v>
      </c>
      <c r="H293" s="379">
        <v>2</v>
      </c>
      <c r="I293" s="379">
        <v>5</v>
      </c>
      <c r="J293" s="379">
        <f t="shared" si="18"/>
        <v>2</v>
      </c>
      <c r="K293" s="379">
        <f t="shared" si="16"/>
        <v>10</v>
      </c>
      <c r="L293" s="643">
        <f>IFERROR(IF(B293="funkcna poziadavka",VLOOKUP(G293,MODULY_CBA!$B$3:$E$23,4,0)*H293/SUMIFS($H$3:$H$199,$G$3:$G$199,G293,$B$3:$B$199,B293),),)</f>
        <v>0.21323529411764705</v>
      </c>
      <c r="M293" s="379">
        <f>IFERROR(IF(B293="Funkcna poziadavka",VLOOKUP(G293,MODULY_CBA!$B$3:$E$23,3,0),),)</f>
        <v>0.93499999999999994</v>
      </c>
      <c r="N293" s="379">
        <f>IFERROR(IF(B293="funkcna poziadavka",VLOOKUP(G293,MODULY_CBA!$B$3:$E$23,2,0),),)</f>
        <v>1.18</v>
      </c>
      <c r="O293" s="378">
        <f t="shared" si="17"/>
        <v>11.268262499999999</v>
      </c>
      <c r="P293" s="377">
        <f>IFERROR(O293*VLOOKUP(G293,MODULY_CBA!$B$3:$F$23,5,0),)</f>
        <v>338.04787499999998</v>
      </c>
      <c r="Q293" s="478" t="str">
        <f>IFERROR(VLOOKUP(G293,MODULY_CBA!$B$3:$I$23,6,0),"")</f>
        <v>Inkrement 2</v>
      </c>
      <c r="R293" s="382"/>
      <c r="S293" s="382"/>
      <c r="T293" s="382"/>
      <c r="U293" s="382"/>
      <c r="V293" s="382"/>
      <c r="W293" s="382"/>
      <c r="X293" s="382"/>
      <c r="Y293" s="382"/>
      <c r="Z293" s="382"/>
      <c r="AA293" s="382"/>
      <c r="AB293" s="382"/>
      <c r="AC293" s="382"/>
      <c r="AD293" s="382"/>
      <c r="AE293" s="382"/>
      <c r="AF293" s="374"/>
    </row>
    <row r="294" spans="1:32">
      <c r="A294" s="401">
        <v>292</v>
      </c>
      <c r="B294" s="401" t="s">
        <v>475</v>
      </c>
      <c r="C294" s="530" t="s">
        <v>736</v>
      </c>
      <c r="D294" s="530" t="s">
        <v>770</v>
      </c>
      <c r="E294" s="530"/>
      <c r="F294" s="389" t="s">
        <v>8</v>
      </c>
      <c r="G294" s="383" t="s">
        <v>255</v>
      </c>
      <c r="H294" s="379">
        <v>2</v>
      </c>
      <c r="I294" s="379">
        <v>5</v>
      </c>
      <c r="J294" s="379">
        <f t="shared" si="18"/>
        <v>2</v>
      </c>
      <c r="K294" s="379">
        <f t="shared" si="16"/>
        <v>10</v>
      </c>
      <c r="L294" s="643">
        <f>IFERROR(IF(B294="funkcna poziadavka",VLOOKUP(G294,MODULY_CBA!$B$3:$E$23,4,0)*H294/SUMIFS($H$3:$H$199,$G$3:$G$199,G294,$B$3:$B$199,B294),),)</f>
        <v>0.21323529411764705</v>
      </c>
      <c r="M294" s="379">
        <f>IFERROR(IF(B294="Funkcna poziadavka",VLOOKUP(G294,MODULY_CBA!$B$3:$E$23,3,0),),)</f>
        <v>0.93499999999999994</v>
      </c>
      <c r="N294" s="379">
        <f>IFERROR(IF(B294="funkcna poziadavka",VLOOKUP(G294,MODULY_CBA!$B$3:$E$23,2,0),),)</f>
        <v>1.18</v>
      </c>
      <c r="O294" s="378">
        <f t="shared" si="17"/>
        <v>11.268262499999999</v>
      </c>
      <c r="P294" s="377">
        <f>IFERROR(O294*VLOOKUP(G294,MODULY_CBA!$B$3:$F$23,5,0),)</f>
        <v>338.04787499999998</v>
      </c>
      <c r="Q294" s="478" t="str">
        <f>IFERROR(VLOOKUP(G294,MODULY_CBA!$B$3:$I$23,6,0),"")</f>
        <v>Inkrement 2</v>
      </c>
      <c r="R294" s="382"/>
      <c r="S294" s="382"/>
      <c r="T294" s="382"/>
      <c r="U294" s="382"/>
      <c r="V294" s="382"/>
      <c r="W294" s="382"/>
      <c r="X294" s="382"/>
      <c r="Y294" s="382"/>
      <c r="Z294" s="382"/>
      <c r="AA294" s="382"/>
      <c r="AB294" s="382"/>
      <c r="AC294" s="382"/>
      <c r="AD294" s="382"/>
      <c r="AE294" s="382"/>
      <c r="AF294" s="374"/>
    </row>
    <row r="295" spans="1:32">
      <c r="A295" s="401">
        <v>293</v>
      </c>
      <c r="B295" s="401" t="s">
        <v>475</v>
      </c>
      <c r="C295" s="530" t="s">
        <v>736</v>
      </c>
      <c r="D295" s="530" t="s">
        <v>771</v>
      </c>
      <c r="E295" s="530"/>
      <c r="F295" s="389" t="s">
        <v>8</v>
      </c>
      <c r="G295" s="383" t="s">
        <v>255</v>
      </c>
      <c r="H295" s="379">
        <v>2</v>
      </c>
      <c r="I295" s="379">
        <v>5</v>
      </c>
      <c r="J295" s="379">
        <f t="shared" si="18"/>
        <v>2</v>
      </c>
      <c r="K295" s="379">
        <f t="shared" si="16"/>
        <v>10</v>
      </c>
      <c r="L295" s="643">
        <f>IFERROR(IF(B295="funkcna poziadavka",VLOOKUP(G295,MODULY_CBA!$B$3:$E$23,4,0)*H295/SUMIFS($H$3:$H$199,$G$3:$G$199,G295,$B$3:$B$199,B295),),)</f>
        <v>0.21323529411764705</v>
      </c>
      <c r="M295" s="379">
        <f>IFERROR(IF(B295="Funkcna poziadavka",VLOOKUP(G295,MODULY_CBA!$B$3:$E$23,3,0),),)</f>
        <v>0.93499999999999994</v>
      </c>
      <c r="N295" s="379">
        <f>IFERROR(IF(B295="funkcna poziadavka",VLOOKUP(G295,MODULY_CBA!$B$3:$E$23,2,0),),)</f>
        <v>1.18</v>
      </c>
      <c r="O295" s="378">
        <f t="shared" si="17"/>
        <v>11.268262499999999</v>
      </c>
      <c r="P295" s="377">
        <f>IFERROR(O295*VLOOKUP(G295,MODULY_CBA!$B$3:$F$23,5,0),)</f>
        <v>338.04787499999998</v>
      </c>
      <c r="Q295" s="478" t="str">
        <f>IFERROR(VLOOKUP(G295,MODULY_CBA!$B$3:$I$23,6,0),"")</f>
        <v>Inkrement 2</v>
      </c>
      <c r="R295" s="382"/>
      <c r="S295" s="382"/>
      <c r="T295" s="382"/>
      <c r="U295" s="382"/>
      <c r="V295" s="382"/>
      <c r="W295" s="382"/>
      <c r="X295" s="382"/>
      <c r="Y295" s="382"/>
      <c r="Z295" s="382"/>
      <c r="AA295" s="382"/>
      <c r="AB295" s="382"/>
      <c r="AC295" s="382"/>
      <c r="AD295" s="382"/>
      <c r="AE295" s="382"/>
      <c r="AF295" s="374"/>
    </row>
    <row r="296" spans="1:32">
      <c r="A296" s="401">
        <v>294</v>
      </c>
      <c r="B296" s="401" t="s">
        <v>475</v>
      </c>
      <c r="C296" s="530" t="s">
        <v>772</v>
      </c>
      <c r="D296" s="530" t="s">
        <v>773</v>
      </c>
      <c r="E296" s="530"/>
      <c r="F296" s="389" t="s">
        <v>8</v>
      </c>
      <c r="G296" s="383" t="s">
        <v>255</v>
      </c>
      <c r="H296" s="379">
        <v>2</v>
      </c>
      <c r="I296" s="379">
        <v>5</v>
      </c>
      <c r="J296" s="379">
        <f t="shared" si="18"/>
        <v>2</v>
      </c>
      <c r="K296" s="379">
        <f t="shared" si="16"/>
        <v>10</v>
      </c>
      <c r="L296" s="643">
        <f>IFERROR(IF(B296="funkcna poziadavka",VLOOKUP(G296,MODULY_CBA!$B$3:$E$23,4,0)*H296/SUMIFS($H$3:$H$199,$G$3:$G$199,G296,$B$3:$B$199,B296),),)</f>
        <v>0.21323529411764705</v>
      </c>
      <c r="M296" s="379">
        <f>IFERROR(IF(B296="Funkcna poziadavka",VLOOKUP(G296,MODULY_CBA!$B$3:$E$23,3,0),),)</f>
        <v>0.93499999999999994</v>
      </c>
      <c r="N296" s="379">
        <f>IFERROR(IF(B296="funkcna poziadavka",VLOOKUP(G296,MODULY_CBA!$B$3:$E$23,2,0),),)</f>
        <v>1.18</v>
      </c>
      <c r="O296" s="378">
        <f t="shared" si="17"/>
        <v>11.268262499999999</v>
      </c>
      <c r="P296" s="377">
        <f>IFERROR(O296*VLOOKUP(G296,MODULY_CBA!$B$3:$F$23,5,0),)</f>
        <v>338.04787499999998</v>
      </c>
      <c r="Q296" s="478" t="str">
        <f>IFERROR(VLOOKUP(G296,MODULY_CBA!$B$3:$I$23,6,0),"")</f>
        <v>Inkrement 2</v>
      </c>
      <c r="R296" s="382"/>
      <c r="S296" s="382"/>
      <c r="T296" s="382"/>
      <c r="U296" s="382"/>
      <c r="V296" s="382"/>
      <c r="W296" s="382"/>
      <c r="X296" s="382"/>
      <c r="Y296" s="382"/>
      <c r="Z296" s="382"/>
      <c r="AA296" s="382"/>
      <c r="AB296" s="382"/>
      <c r="AC296" s="382"/>
      <c r="AD296" s="382"/>
      <c r="AE296" s="382"/>
      <c r="AF296" s="374"/>
    </row>
    <row r="297" spans="1:32">
      <c r="A297" s="401">
        <v>295</v>
      </c>
      <c r="B297" s="401" t="s">
        <v>475</v>
      </c>
      <c r="C297" s="530" t="s">
        <v>772</v>
      </c>
      <c r="D297" s="530" t="s">
        <v>774</v>
      </c>
      <c r="E297" s="530"/>
      <c r="F297" s="389" t="s">
        <v>8</v>
      </c>
      <c r="G297" s="383" t="s">
        <v>255</v>
      </c>
      <c r="H297" s="379">
        <v>2</v>
      </c>
      <c r="I297" s="379">
        <v>10</v>
      </c>
      <c r="J297" s="379">
        <f t="shared" si="18"/>
        <v>2</v>
      </c>
      <c r="K297" s="379">
        <f t="shared" si="16"/>
        <v>20</v>
      </c>
      <c r="L297" s="643">
        <f>IFERROR(IF(B297="funkcna poziadavka",VLOOKUP(G297,MODULY_CBA!$B$3:$E$23,4,0)*H297/SUMIFS($H$3:$H$199,$G$3:$G$199,G297,$B$3:$B$199,B297),),)</f>
        <v>0.21323529411764705</v>
      </c>
      <c r="M297" s="379">
        <f>IFERROR(IF(B297="Funkcna poziadavka",VLOOKUP(G297,MODULY_CBA!$B$3:$E$23,3,0),),)</f>
        <v>0.93499999999999994</v>
      </c>
      <c r="N297" s="379">
        <f>IFERROR(IF(B297="funkcna poziadavka",VLOOKUP(G297,MODULY_CBA!$B$3:$E$23,2,0),),)</f>
        <v>1.18</v>
      </c>
      <c r="O297" s="378">
        <f t="shared" si="17"/>
        <v>22.301262499999996</v>
      </c>
      <c r="P297" s="377">
        <f>IFERROR(O297*VLOOKUP(G297,MODULY_CBA!$B$3:$F$23,5,0),)</f>
        <v>669.03787499999987</v>
      </c>
      <c r="Q297" s="478" t="str">
        <f>IFERROR(VLOOKUP(G297,MODULY_CBA!$B$3:$I$23,6,0),"")</f>
        <v>Inkrement 2</v>
      </c>
      <c r="R297" s="382"/>
      <c r="S297" s="382"/>
      <c r="T297" s="382"/>
      <c r="U297" s="382"/>
      <c r="V297" s="382"/>
      <c r="W297" s="382"/>
      <c r="X297" s="382"/>
      <c r="Y297" s="382"/>
      <c r="Z297" s="382"/>
      <c r="AA297" s="382"/>
      <c r="AB297" s="382"/>
      <c r="AC297" s="382"/>
      <c r="AD297" s="382"/>
      <c r="AE297" s="382"/>
      <c r="AF297" s="374"/>
    </row>
    <row r="298" spans="1:32">
      <c r="A298" s="401">
        <v>296</v>
      </c>
      <c r="B298" s="401" t="s">
        <v>475</v>
      </c>
      <c r="C298" s="530" t="s">
        <v>772</v>
      </c>
      <c r="D298" s="530" t="s">
        <v>775</v>
      </c>
      <c r="E298" s="530"/>
      <c r="F298" s="389" t="s">
        <v>8</v>
      </c>
      <c r="G298" s="383" t="s">
        <v>255</v>
      </c>
      <c r="H298" s="379">
        <v>2</v>
      </c>
      <c r="I298" s="379">
        <v>5</v>
      </c>
      <c r="J298" s="379">
        <f t="shared" si="18"/>
        <v>2</v>
      </c>
      <c r="K298" s="379">
        <f t="shared" ref="K298:K300" si="19">H298*I298</f>
        <v>10</v>
      </c>
      <c r="L298" s="643">
        <f>IFERROR(IF(B298="funkcna poziadavka",VLOOKUP(G298,MODULY_CBA!$B$3:$E$23,4,0)*H298/SUMIFS($H$3:$H$199,$G$3:$G$199,G298,$B$3:$B$199,B298),),)</f>
        <v>0.21323529411764705</v>
      </c>
      <c r="M298" s="379">
        <f>IFERROR(IF(B298="Funkcna poziadavka",VLOOKUP(G298,MODULY_CBA!$B$3:$E$23,3,0),),)</f>
        <v>0.93499999999999994</v>
      </c>
      <c r="N298" s="379">
        <f>IFERROR(IF(B298="funkcna poziadavka",VLOOKUP(G298,MODULY_CBA!$B$3:$E$23,2,0),),)</f>
        <v>1.18</v>
      </c>
      <c r="O298" s="378">
        <f t="shared" ref="O298:O300" si="20">(K298+L298)*M298*N298</f>
        <v>11.268262499999999</v>
      </c>
      <c r="P298" s="377">
        <f>IFERROR(O298*VLOOKUP(G298,MODULY_CBA!$B$3:$F$23,5,0),)</f>
        <v>338.04787499999998</v>
      </c>
      <c r="Q298" s="478" t="str">
        <f>IFERROR(VLOOKUP(G298,MODULY_CBA!$B$3:$I$23,6,0),"")</f>
        <v>Inkrement 2</v>
      </c>
      <c r="R298" s="382"/>
      <c r="S298" s="382"/>
      <c r="T298" s="382"/>
      <c r="U298" s="382"/>
      <c r="V298" s="382"/>
      <c r="W298" s="382"/>
      <c r="X298" s="382"/>
      <c r="Y298" s="382"/>
      <c r="Z298" s="382"/>
      <c r="AA298" s="382"/>
      <c r="AB298" s="382"/>
      <c r="AC298" s="382"/>
      <c r="AD298" s="382"/>
      <c r="AE298" s="382"/>
      <c r="AF298" s="374"/>
    </row>
    <row r="299" spans="1:32">
      <c r="A299" s="401">
        <v>297</v>
      </c>
      <c r="B299" s="401" t="s">
        <v>475</v>
      </c>
      <c r="C299" s="530" t="s">
        <v>772</v>
      </c>
      <c r="D299" s="530" t="s">
        <v>776</v>
      </c>
      <c r="E299" s="530"/>
      <c r="F299" s="389" t="s">
        <v>8</v>
      </c>
      <c r="G299" s="383" t="s">
        <v>255</v>
      </c>
      <c r="H299" s="379">
        <v>2</v>
      </c>
      <c r="I299" s="379">
        <v>5</v>
      </c>
      <c r="J299" s="379">
        <f t="shared" si="18"/>
        <v>2</v>
      </c>
      <c r="K299" s="379">
        <f t="shared" si="19"/>
        <v>10</v>
      </c>
      <c r="L299" s="643">
        <f>IFERROR(IF(B299="funkcna poziadavka",VLOOKUP(G299,MODULY_CBA!$B$3:$E$23,4,0)*H299/SUMIFS($H$3:$H$199,$G$3:$G$199,G299,$B$3:$B$199,B299),),)</f>
        <v>0.21323529411764705</v>
      </c>
      <c r="M299" s="379">
        <f>IFERROR(IF(B299="Funkcna poziadavka",VLOOKUP(G299,MODULY_CBA!$B$3:$E$23,3,0),),)</f>
        <v>0.93499999999999994</v>
      </c>
      <c r="N299" s="379">
        <f>IFERROR(IF(B299="funkcna poziadavka",VLOOKUP(G299,MODULY_CBA!$B$3:$E$23,2,0),),)</f>
        <v>1.18</v>
      </c>
      <c r="O299" s="378">
        <f t="shared" si="20"/>
        <v>11.268262499999999</v>
      </c>
      <c r="P299" s="377">
        <f>IFERROR(O299*VLOOKUP(G299,MODULY_CBA!$B$3:$F$23,5,0),)</f>
        <v>338.04787499999998</v>
      </c>
      <c r="Q299" s="478" t="str">
        <f>IFERROR(VLOOKUP(G299,MODULY_CBA!$B$3:$I$23,6,0),"")</f>
        <v>Inkrement 2</v>
      </c>
      <c r="R299" s="382"/>
      <c r="S299" s="382"/>
      <c r="T299" s="382"/>
      <c r="U299" s="382"/>
      <c r="V299" s="382"/>
      <c r="W299" s="382"/>
      <c r="X299" s="382"/>
      <c r="Y299" s="382"/>
      <c r="Z299" s="382"/>
      <c r="AA299" s="382"/>
      <c r="AB299" s="382"/>
      <c r="AC299" s="382"/>
      <c r="AD299" s="382"/>
      <c r="AE299" s="382"/>
      <c r="AF299" s="374"/>
    </row>
    <row r="300" spans="1:32">
      <c r="A300" s="401">
        <v>298</v>
      </c>
      <c r="B300" s="401" t="s">
        <v>475</v>
      </c>
      <c r="C300" s="530" t="s">
        <v>772</v>
      </c>
      <c r="D300" s="530" t="s">
        <v>777</v>
      </c>
      <c r="E300" s="530"/>
      <c r="F300" s="389" t="s">
        <v>8</v>
      </c>
      <c r="G300" s="383" t="s">
        <v>255</v>
      </c>
      <c r="H300" s="379">
        <v>2</v>
      </c>
      <c r="I300" s="379">
        <v>5</v>
      </c>
      <c r="J300" s="379">
        <f t="shared" si="18"/>
        <v>2</v>
      </c>
      <c r="K300" s="379">
        <f t="shared" si="19"/>
        <v>10</v>
      </c>
      <c r="L300" s="643">
        <f>IFERROR(IF(B300="funkcna poziadavka",VLOOKUP(G300,MODULY_CBA!$B$3:$E$23,4,0)*H300/SUMIFS($H$3:$H$199,$G$3:$G$199,G300,$B$3:$B$199,B300),),)</f>
        <v>0.21323529411764705</v>
      </c>
      <c r="M300" s="379">
        <f>IFERROR(IF(B300="Funkcna poziadavka",VLOOKUP(G300,MODULY_CBA!$B$3:$E$23,3,0),),)</f>
        <v>0.93499999999999994</v>
      </c>
      <c r="N300" s="379">
        <f>IFERROR(IF(B300="funkcna poziadavka",VLOOKUP(G300,MODULY_CBA!$B$3:$E$23,2,0),),)</f>
        <v>1.18</v>
      </c>
      <c r="O300" s="378">
        <f t="shared" si="20"/>
        <v>11.268262499999999</v>
      </c>
      <c r="P300" s="377">
        <f>IFERROR(O300*VLOOKUP(G300,MODULY_CBA!$B$3:$F$23,5,0),)</f>
        <v>338.04787499999998</v>
      </c>
      <c r="Q300" s="478" t="str">
        <f>IFERROR(VLOOKUP(G300,MODULY_CBA!$B$3:$I$23,6,0),"")</f>
        <v>Inkrement 2</v>
      </c>
      <c r="R300" s="382"/>
      <c r="S300" s="382"/>
      <c r="T300" s="382"/>
      <c r="U300" s="382"/>
      <c r="V300" s="382"/>
      <c r="W300" s="382"/>
      <c r="X300" s="382"/>
      <c r="Y300" s="382"/>
      <c r="Z300" s="382"/>
      <c r="AA300" s="382"/>
      <c r="AB300" s="382"/>
      <c r="AC300" s="382"/>
      <c r="AD300" s="382"/>
      <c r="AE300" s="382"/>
      <c r="AF300" s="374"/>
    </row>
    <row r="301" spans="1:32">
      <c r="A301" s="401">
        <v>299</v>
      </c>
      <c r="B301" s="401" t="s">
        <v>475</v>
      </c>
      <c r="C301" s="530" t="s">
        <v>772</v>
      </c>
      <c r="D301" s="530" t="s">
        <v>778</v>
      </c>
      <c r="E301" s="530"/>
      <c r="F301" s="389" t="s">
        <v>8</v>
      </c>
      <c r="G301" s="383" t="s">
        <v>255</v>
      </c>
      <c r="H301" s="379">
        <v>2</v>
      </c>
      <c r="I301" s="379">
        <v>5</v>
      </c>
      <c r="J301" s="379">
        <f t="shared" si="18"/>
        <v>2</v>
      </c>
      <c r="K301" s="379">
        <f t="shared" ref="K301:K334" si="21">H301*I301</f>
        <v>10</v>
      </c>
      <c r="L301" s="643">
        <f>IFERROR(IF(B301="funkcna poziadavka",VLOOKUP(G301,MODULY_CBA!$B$3:$E$23,4,0)*H301/SUMIFS($H$3:$H$199,$G$3:$G$199,G301,$B$3:$B$199,B301),),)</f>
        <v>0.21323529411764705</v>
      </c>
      <c r="M301" s="379">
        <f>IFERROR(IF(B301="Funkcna poziadavka",VLOOKUP(G301,MODULY_CBA!$B$3:$E$23,3,0),),)</f>
        <v>0.93499999999999994</v>
      </c>
      <c r="N301" s="379">
        <f>IFERROR(IF(B301="funkcna poziadavka",VLOOKUP(G301,MODULY_CBA!$B$3:$E$23,2,0),),)</f>
        <v>1.18</v>
      </c>
      <c r="O301" s="378">
        <f t="shared" ref="O301:O334" si="22">(K301+L301)*M301*N301</f>
        <v>11.268262499999999</v>
      </c>
      <c r="P301" s="377">
        <f>IFERROR(O301*VLOOKUP(G301,MODULY_CBA!$B$3:$F$23,5,0),)</f>
        <v>338.04787499999998</v>
      </c>
      <c r="Q301" s="478" t="str">
        <f>IFERROR(VLOOKUP(G301,MODULY_CBA!$B$3:$I$23,6,0),"")</f>
        <v>Inkrement 2</v>
      </c>
    </row>
    <row r="302" spans="1:32">
      <c r="A302" s="401">
        <v>300</v>
      </c>
      <c r="B302" s="401" t="s">
        <v>475</v>
      </c>
      <c r="C302" s="530" t="s">
        <v>772</v>
      </c>
      <c r="D302" s="530" t="s">
        <v>779</v>
      </c>
      <c r="E302" s="530"/>
      <c r="F302" s="389" t="s">
        <v>8</v>
      </c>
      <c r="G302" s="383" t="s">
        <v>255</v>
      </c>
      <c r="H302" s="379">
        <v>2</v>
      </c>
      <c r="I302" s="379">
        <v>5</v>
      </c>
      <c r="J302" s="379">
        <f t="shared" si="18"/>
        <v>2</v>
      </c>
      <c r="K302" s="379">
        <f t="shared" si="21"/>
        <v>10</v>
      </c>
      <c r="L302" s="643">
        <f>IFERROR(IF(B302="funkcna poziadavka",VLOOKUP(G302,MODULY_CBA!$B$3:$E$23,4,0)*H302/SUMIFS($H$3:$H$199,$G$3:$G$199,G302,$B$3:$B$199,B302),),)</f>
        <v>0.21323529411764705</v>
      </c>
      <c r="M302" s="379">
        <f>IFERROR(IF(B302="Funkcna poziadavka",VLOOKUP(G302,MODULY_CBA!$B$3:$E$23,3,0),),)</f>
        <v>0.93499999999999994</v>
      </c>
      <c r="N302" s="379">
        <f>IFERROR(IF(B302="funkcna poziadavka",VLOOKUP(G302,MODULY_CBA!$B$3:$E$23,2,0),),)</f>
        <v>1.18</v>
      </c>
      <c r="O302" s="378">
        <f t="shared" si="22"/>
        <v>11.268262499999999</v>
      </c>
      <c r="P302" s="377">
        <f>IFERROR(O302*VLOOKUP(G302,MODULY_CBA!$B$3:$F$23,5,0),)</f>
        <v>338.04787499999998</v>
      </c>
      <c r="Q302" s="478" t="str">
        <f>IFERROR(VLOOKUP(G302,MODULY_CBA!$B$3:$I$23,6,0),"")</f>
        <v>Inkrement 2</v>
      </c>
    </row>
    <row r="303" spans="1:32">
      <c r="A303" s="401">
        <v>301</v>
      </c>
      <c r="B303" s="401" t="s">
        <v>475</v>
      </c>
      <c r="C303" s="530" t="s">
        <v>772</v>
      </c>
      <c r="D303" s="530" t="s">
        <v>780</v>
      </c>
      <c r="E303" s="530"/>
      <c r="F303" s="389" t="s">
        <v>8</v>
      </c>
      <c r="G303" s="383" t="s">
        <v>255</v>
      </c>
      <c r="H303" s="379">
        <v>2</v>
      </c>
      <c r="I303" s="379">
        <v>5</v>
      </c>
      <c r="J303" s="379">
        <f t="shared" si="18"/>
        <v>2</v>
      </c>
      <c r="K303" s="379">
        <f t="shared" si="21"/>
        <v>10</v>
      </c>
      <c r="L303" s="643">
        <f>IFERROR(IF(B303="funkcna poziadavka",VLOOKUP(G303,MODULY_CBA!$B$3:$E$23,4,0)*H303/SUMIFS($H$3:$H$199,$G$3:$G$199,G303,$B$3:$B$199,B303),),)</f>
        <v>0.21323529411764705</v>
      </c>
      <c r="M303" s="379">
        <f>IFERROR(IF(B303="Funkcna poziadavka",VLOOKUP(G303,MODULY_CBA!$B$3:$E$23,3,0),),)</f>
        <v>0.93499999999999994</v>
      </c>
      <c r="N303" s="379">
        <f>IFERROR(IF(B303="funkcna poziadavka",VLOOKUP(G303,MODULY_CBA!$B$3:$E$23,2,0),),)</f>
        <v>1.18</v>
      </c>
      <c r="O303" s="378">
        <f t="shared" si="22"/>
        <v>11.268262499999999</v>
      </c>
      <c r="P303" s="377">
        <f>IFERROR(O303*VLOOKUP(G303,MODULY_CBA!$B$3:$F$23,5,0),)</f>
        <v>338.04787499999998</v>
      </c>
      <c r="Q303" s="478" t="str">
        <f>IFERROR(VLOOKUP(G303,MODULY_CBA!$B$3:$I$23,6,0),"")</f>
        <v>Inkrement 2</v>
      </c>
    </row>
    <row r="304" spans="1:32">
      <c r="A304" s="401">
        <v>302</v>
      </c>
      <c r="B304" s="401" t="s">
        <v>475</v>
      </c>
      <c r="C304" s="530" t="s">
        <v>772</v>
      </c>
      <c r="D304" s="530" t="s">
        <v>781</v>
      </c>
      <c r="E304" s="530"/>
      <c r="F304" s="389" t="s">
        <v>8</v>
      </c>
      <c r="G304" s="383" t="s">
        <v>255</v>
      </c>
      <c r="H304" s="379">
        <v>2</v>
      </c>
      <c r="I304" s="379">
        <v>5</v>
      </c>
      <c r="J304" s="379">
        <f t="shared" si="18"/>
        <v>2</v>
      </c>
      <c r="K304" s="379">
        <f t="shared" si="21"/>
        <v>10</v>
      </c>
      <c r="L304" s="643">
        <f>IFERROR(IF(B304="funkcna poziadavka",VLOOKUP(G304,MODULY_CBA!$B$3:$E$23,4,0)*H304/SUMIFS($H$3:$H$199,$G$3:$G$199,G304,$B$3:$B$199,B304),),)</f>
        <v>0.21323529411764705</v>
      </c>
      <c r="M304" s="379">
        <f>IFERROR(IF(B304="Funkcna poziadavka",VLOOKUP(G304,MODULY_CBA!$B$3:$E$23,3,0),),)</f>
        <v>0.93499999999999994</v>
      </c>
      <c r="N304" s="379">
        <f>IFERROR(IF(B304="funkcna poziadavka",VLOOKUP(G304,MODULY_CBA!$B$3:$E$23,2,0),),)</f>
        <v>1.18</v>
      </c>
      <c r="O304" s="378">
        <f t="shared" si="22"/>
        <v>11.268262499999999</v>
      </c>
      <c r="P304" s="377">
        <f>IFERROR(O304*VLOOKUP(G304,MODULY_CBA!$B$3:$F$23,5,0),)</f>
        <v>338.04787499999998</v>
      </c>
      <c r="Q304" s="478" t="str">
        <f>IFERROR(VLOOKUP(G304,MODULY_CBA!$B$3:$I$23,6,0),"")</f>
        <v>Inkrement 2</v>
      </c>
    </row>
    <row r="305" spans="1:17">
      <c r="A305" s="401">
        <v>303</v>
      </c>
      <c r="B305" s="401" t="s">
        <v>475</v>
      </c>
      <c r="C305" s="530" t="s">
        <v>772</v>
      </c>
      <c r="D305" s="530" t="s">
        <v>782</v>
      </c>
      <c r="E305" s="530"/>
      <c r="F305" s="389" t="s">
        <v>8</v>
      </c>
      <c r="G305" s="383" t="s">
        <v>255</v>
      </c>
      <c r="H305" s="379">
        <v>2</v>
      </c>
      <c r="I305" s="379">
        <v>5</v>
      </c>
      <c r="J305" s="379">
        <f t="shared" si="18"/>
        <v>2</v>
      </c>
      <c r="K305" s="379">
        <f t="shared" si="21"/>
        <v>10</v>
      </c>
      <c r="L305" s="643">
        <f>IFERROR(IF(B305="funkcna poziadavka",VLOOKUP(G305,MODULY_CBA!$B$3:$E$23,4,0)*H305/SUMIFS($H$3:$H$199,$G$3:$G$199,G305,$B$3:$B$199,B305),),)</f>
        <v>0.21323529411764705</v>
      </c>
      <c r="M305" s="379">
        <f>IFERROR(IF(B305="Funkcna poziadavka",VLOOKUP(G305,MODULY_CBA!$B$3:$E$23,3,0),),)</f>
        <v>0.93499999999999994</v>
      </c>
      <c r="N305" s="379">
        <f>IFERROR(IF(B305="funkcna poziadavka",VLOOKUP(G305,MODULY_CBA!$B$3:$E$23,2,0),),)</f>
        <v>1.18</v>
      </c>
      <c r="O305" s="378">
        <f t="shared" si="22"/>
        <v>11.268262499999999</v>
      </c>
      <c r="P305" s="377">
        <f>IFERROR(O305*VLOOKUP(G305,MODULY_CBA!$B$3:$F$23,5,0),)</f>
        <v>338.04787499999998</v>
      </c>
      <c r="Q305" s="478" t="str">
        <f>IFERROR(VLOOKUP(G305,MODULY_CBA!$B$3:$I$23,6,0),"")</f>
        <v>Inkrement 2</v>
      </c>
    </row>
    <row r="306" spans="1:17">
      <c r="A306" s="401">
        <v>304</v>
      </c>
      <c r="B306" s="401" t="s">
        <v>475</v>
      </c>
      <c r="C306" s="530" t="s">
        <v>772</v>
      </c>
      <c r="D306" s="530" t="s">
        <v>783</v>
      </c>
      <c r="E306" s="530"/>
      <c r="F306" s="389" t="s">
        <v>8</v>
      </c>
      <c r="G306" s="383" t="s">
        <v>255</v>
      </c>
      <c r="H306" s="379">
        <v>2</v>
      </c>
      <c r="I306" s="379">
        <v>5</v>
      </c>
      <c r="J306" s="379">
        <f t="shared" si="18"/>
        <v>2</v>
      </c>
      <c r="K306" s="379">
        <f t="shared" si="21"/>
        <v>10</v>
      </c>
      <c r="L306" s="643">
        <f>IFERROR(IF(B306="funkcna poziadavka",VLOOKUP(G306,MODULY_CBA!$B$3:$E$23,4,0)*H306/SUMIFS($H$3:$H$199,$G$3:$G$199,G306,$B$3:$B$199,B306),),)</f>
        <v>0.21323529411764705</v>
      </c>
      <c r="M306" s="379">
        <f>IFERROR(IF(B306="Funkcna poziadavka",VLOOKUP(G306,MODULY_CBA!$B$3:$E$23,3,0),),)</f>
        <v>0.93499999999999994</v>
      </c>
      <c r="N306" s="379">
        <f>IFERROR(IF(B306="funkcna poziadavka",VLOOKUP(G306,MODULY_CBA!$B$3:$E$23,2,0),),)</f>
        <v>1.18</v>
      </c>
      <c r="O306" s="378">
        <f t="shared" si="22"/>
        <v>11.268262499999999</v>
      </c>
      <c r="P306" s="377">
        <f>IFERROR(O306*VLOOKUP(G306,MODULY_CBA!$B$3:$F$23,5,0),)</f>
        <v>338.04787499999998</v>
      </c>
      <c r="Q306" s="478" t="str">
        <f>IFERROR(VLOOKUP(G306,MODULY_CBA!$B$3:$I$23,6,0),"")</f>
        <v>Inkrement 2</v>
      </c>
    </row>
    <row r="307" spans="1:17">
      <c r="A307" s="401">
        <v>305</v>
      </c>
      <c r="B307" s="401" t="s">
        <v>475</v>
      </c>
      <c r="C307" s="530" t="s">
        <v>772</v>
      </c>
      <c r="D307" s="530" t="s">
        <v>784</v>
      </c>
      <c r="E307" s="530"/>
      <c r="F307" s="389" t="s">
        <v>8</v>
      </c>
      <c r="G307" s="383" t="s">
        <v>255</v>
      </c>
      <c r="H307" s="379">
        <v>2</v>
      </c>
      <c r="I307" s="379">
        <v>5</v>
      </c>
      <c r="J307" s="379">
        <f t="shared" si="18"/>
        <v>2</v>
      </c>
      <c r="K307" s="379">
        <f t="shared" si="21"/>
        <v>10</v>
      </c>
      <c r="L307" s="643">
        <f>IFERROR(IF(B307="funkcna poziadavka",VLOOKUP(G307,MODULY_CBA!$B$3:$E$23,4,0)*H307/SUMIFS($H$3:$H$199,$G$3:$G$199,G307,$B$3:$B$199,B307),),)</f>
        <v>0.21323529411764705</v>
      </c>
      <c r="M307" s="379">
        <f>IFERROR(IF(B307="Funkcna poziadavka",VLOOKUP(G307,MODULY_CBA!$B$3:$E$23,3,0),),)</f>
        <v>0.93499999999999994</v>
      </c>
      <c r="N307" s="379">
        <f>IFERROR(IF(B307="funkcna poziadavka",VLOOKUP(G307,MODULY_CBA!$B$3:$E$23,2,0),),)</f>
        <v>1.18</v>
      </c>
      <c r="O307" s="378">
        <f t="shared" si="22"/>
        <v>11.268262499999999</v>
      </c>
      <c r="P307" s="377">
        <f>IFERROR(O307*VLOOKUP(G307,MODULY_CBA!$B$3:$F$23,5,0),)</f>
        <v>338.04787499999998</v>
      </c>
      <c r="Q307" s="478" t="str">
        <f>IFERROR(VLOOKUP(G307,MODULY_CBA!$B$3:$I$23,6,0),"")</f>
        <v>Inkrement 2</v>
      </c>
    </row>
    <row r="308" spans="1:17">
      <c r="A308" s="401">
        <v>306</v>
      </c>
      <c r="B308" s="401" t="s">
        <v>475</v>
      </c>
      <c r="C308" s="530" t="s">
        <v>772</v>
      </c>
      <c r="D308" s="530" t="s">
        <v>785</v>
      </c>
      <c r="E308" s="530"/>
      <c r="F308" s="389" t="s">
        <v>8</v>
      </c>
      <c r="G308" s="383" t="s">
        <v>255</v>
      </c>
      <c r="H308" s="379">
        <v>2</v>
      </c>
      <c r="I308" s="379">
        <v>5</v>
      </c>
      <c r="J308" s="379">
        <f t="shared" si="18"/>
        <v>2</v>
      </c>
      <c r="K308" s="379">
        <f t="shared" si="21"/>
        <v>10</v>
      </c>
      <c r="L308" s="643">
        <f>IFERROR(IF(B308="funkcna poziadavka",VLOOKUP(G308,MODULY_CBA!$B$3:$E$23,4,0)*H308/SUMIFS($H$3:$H$199,$G$3:$G$199,G308,$B$3:$B$199,B308),),)</f>
        <v>0.21323529411764705</v>
      </c>
      <c r="M308" s="379">
        <f>IFERROR(IF(B308="Funkcna poziadavka",VLOOKUP(G308,MODULY_CBA!$B$3:$E$23,3,0),),)</f>
        <v>0.93499999999999994</v>
      </c>
      <c r="N308" s="379">
        <f>IFERROR(IF(B308="funkcna poziadavka",VLOOKUP(G308,MODULY_CBA!$B$3:$E$23,2,0),),)</f>
        <v>1.18</v>
      </c>
      <c r="O308" s="378">
        <f t="shared" si="22"/>
        <v>11.268262499999999</v>
      </c>
      <c r="P308" s="377">
        <f>IFERROR(O308*VLOOKUP(G308,MODULY_CBA!$B$3:$F$23,5,0),)</f>
        <v>338.04787499999998</v>
      </c>
      <c r="Q308" s="478" t="str">
        <f>IFERROR(VLOOKUP(G308,MODULY_CBA!$B$3:$I$23,6,0),"")</f>
        <v>Inkrement 2</v>
      </c>
    </row>
    <row r="309" spans="1:17">
      <c r="A309" s="401">
        <v>307</v>
      </c>
      <c r="B309" s="401" t="s">
        <v>475</v>
      </c>
      <c r="C309" s="530" t="s">
        <v>772</v>
      </c>
      <c r="D309" s="530" t="s">
        <v>786</v>
      </c>
      <c r="E309" s="530"/>
      <c r="F309" s="389" t="s">
        <v>8</v>
      </c>
      <c r="G309" s="383" t="s">
        <v>255</v>
      </c>
      <c r="H309" s="379">
        <v>2</v>
      </c>
      <c r="I309" s="379">
        <v>5</v>
      </c>
      <c r="J309" s="379">
        <f t="shared" si="18"/>
        <v>2</v>
      </c>
      <c r="K309" s="379">
        <f t="shared" si="21"/>
        <v>10</v>
      </c>
      <c r="L309" s="643">
        <f>IFERROR(IF(B309="funkcna poziadavka",VLOOKUP(G309,MODULY_CBA!$B$3:$E$23,4,0)*H309/SUMIFS($H$3:$H$199,$G$3:$G$199,G309,$B$3:$B$199,B309),),)</f>
        <v>0.21323529411764705</v>
      </c>
      <c r="M309" s="379">
        <f>IFERROR(IF(B309="Funkcna poziadavka",VLOOKUP(G309,MODULY_CBA!$B$3:$E$23,3,0),),)</f>
        <v>0.93499999999999994</v>
      </c>
      <c r="N309" s="379">
        <f>IFERROR(IF(B309="funkcna poziadavka",VLOOKUP(G309,MODULY_CBA!$B$3:$E$23,2,0),),)</f>
        <v>1.18</v>
      </c>
      <c r="O309" s="378">
        <f t="shared" si="22"/>
        <v>11.268262499999999</v>
      </c>
      <c r="P309" s="377">
        <f>IFERROR(O309*VLOOKUP(G309,MODULY_CBA!$B$3:$F$23,5,0),)</f>
        <v>338.04787499999998</v>
      </c>
      <c r="Q309" s="478" t="str">
        <f>IFERROR(VLOOKUP(G309,MODULY_CBA!$B$3:$I$23,6,0),"")</f>
        <v>Inkrement 2</v>
      </c>
    </row>
    <row r="310" spans="1:17">
      <c r="A310" s="401">
        <v>308</v>
      </c>
      <c r="B310" s="401" t="s">
        <v>475</v>
      </c>
      <c r="C310" s="530" t="s">
        <v>772</v>
      </c>
      <c r="D310" s="530" t="s">
        <v>787</v>
      </c>
      <c r="E310" s="530"/>
      <c r="F310" s="389" t="s">
        <v>8</v>
      </c>
      <c r="G310" s="383" t="s">
        <v>255</v>
      </c>
      <c r="H310" s="379">
        <v>2</v>
      </c>
      <c r="I310" s="379">
        <v>5</v>
      </c>
      <c r="J310" s="379">
        <f t="shared" si="18"/>
        <v>2</v>
      </c>
      <c r="K310" s="379">
        <f t="shared" si="21"/>
        <v>10</v>
      </c>
      <c r="L310" s="643">
        <f>IFERROR(IF(B310="funkcna poziadavka",VLOOKUP(G310,MODULY_CBA!$B$3:$E$23,4,0)*H310/SUMIFS($H$3:$H$199,$G$3:$G$199,G310,$B$3:$B$199,B310),),)</f>
        <v>0.21323529411764705</v>
      </c>
      <c r="M310" s="379">
        <f>IFERROR(IF(B310="Funkcna poziadavka",VLOOKUP(G310,MODULY_CBA!$B$3:$E$23,3,0),),)</f>
        <v>0.93499999999999994</v>
      </c>
      <c r="N310" s="379">
        <f>IFERROR(IF(B310="funkcna poziadavka",VLOOKUP(G310,MODULY_CBA!$B$3:$E$23,2,0),),)</f>
        <v>1.18</v>
      </c>
      <c r="O310" s="378">
        <f t="shared" si="22"/>
        <v>11.268262499999999</v>
      </c>
      <c r="P310" s="377">
        <f>IFERROR(O310*VLOOKUP(G310,MODULY_CBA!$B$3:$F$23,5,0),)</f>
        <v>338.04787499999998</v>
      </c>
      <c r="Q310" s="478" t="str">
        <f>IFERROR(VLOOKUP(G310,MODULY_CBA!$B$3:$I$23,6,0),"")</f>
        <v>Inkrement 2</v>
      </c>
    </row>
    <row r="311" spans="1:17">
      <c r="A311" s="401">
        <v>309</v>
      </c>
      <c r="B311" s="401" t="s">
        <v>475</v>
      </c>
      <c r="C311" s="530" t="s">
        <v>772</v>
      </c>
      <c r="D311" s="530" t="s">
        <v>788</v>
      </c>
      <c r="E311" s="530"/>
      <c r="F311" s="389" t="s">
        <v>8</v>
      </c>
      <c r="G311" s="383" t="s">
        <v>255</v>
      </c>
      <c r="H311" s="379">
        <v>2</v>
      </c>
      <c r="I311" s="379">
        <v>5</v>
      </c>
      <c r="J311" s="379">
        <f t="shared" si="18"/>
        <v>2</v>
      </c>
      <c r="K311" s="379">
        <f t="shared" si="21"/>
        <v>10</v>
      </c>
      <c r="L311" s="643">
        <f>IFERROR(IF(B311="funkcna poziadavka",VLOOKUP(G311,MODULY_CBA!$B$3:$E$23,4,0)*H311/SUMIFS($H$3:$H$199,$G$3:$G$199,G311,$B$3:$B$199,B311),),)</f>
        <v>0.21323529411764705</v>
      </c>
      <c r="M311" s="379">
        <f>IFERROR(IF(B311="Funkcna poziadavka",VLOOKUP(G311,MODULY_CBA!$B$3:$E$23,3,0),),)</f>
        <v>0.93499999999999994</v>
      </c>
      <c r="N311" s="379">
        <f>IFERROR(IF(B311="funkcna poziadavka",VLOOKUP(G311,MODULY_CBA!$B$3:$E$23,2,0),),)</f>
        <v>1.18</v>
      </c>
      <c r="O311" s="378">
        <f t="shared" si="22"/>
        <v>11.268262499999999</v>
      </c>
      <c r="P311" s="377">
        <f>IFERROR(O311*VLOOKUP(G311,MODULY_CBA!$B$3:$F$23,5,0),)</f>
        <v>338.04787499999998</v>
      </c>
      <c r="Q311" s="478" t="str">
        <f>IFERROR(VLOOKUP(G311,MODULY_CBA!$B$3:$I$23,6,0),"")</f>
        <v>Inkrement 2</v>
      </c>
    </row>
    <row r="312" spans="1:17">
      <c r="A312" s="401">
        <v>310</v>
      </c>
      <c r="B312" s="401" t="s">
        <v>475</v>
      </c>
      <c r="C312" s="530" t="s">
        <v>772</v>
      </c>
      <c r="D312" s="530" t="s">
        <v>789</v>
      </c>
      <c r="E312" s="530"/>
      <c r="F312" s="389" t="s">
        <v>8</v>
      </c>
      <c r="G312" s="383" t="s">
        <v>255</v>
      </c>
      <c r="H312" s="379">
        <v>2</v>
      </c>
      <c r="I312" s="379">
        <v>5</v>
      </c>
      <c r="J312" s="379">
        <f t="shared" si="18"/>
        <v>2</v>
      </c>
      <c r="K312" s="379">
        <f t="shared" si="21"/>
        <v>10</v>
      </c>
      <c r="L312" s="643">
        <f>IFERROR(IF(B312="funkcna poziadavka",VLOOKUP(G312,MODULY_CBA!$B$3:$E$23,4,0)*H312/SUMIFS($H$3:$H$199,$G$3:$G$199,G312,$B$3:$B$199,B312),),)</f>
        <v>0.21323529411764705</v>
      </c>
      <c r="M312" s="379">
        <f>IFERROR(IF(B312="Funkcna poziadavka",VLOOKUP(G312,MODULY_CBA!$B$3:$E$23,3,0),),)</f>
        <v>0.93499999999999994</v>
      </c>
      <c r="N312" s="379">
        <f>IFERROR(IF(B312="funkcna poziadavka",VLOOKUP(G312,MODULY_CBA!$B$3:$E$23,2,0),),)</f>
        <v>1.18</v>
      </c>
      <c r="O312" s="378">
        <f t="shared" si="22"/>
        <v>11.268262499999999</v>
      </c>
      <c r="P312" s="377">
        <f>IFERROR(O312*VLOOKUP(G312,MODULY_CBA!$B$3:$F$23,5,0),)</f>
        <v>338.04787499999998</v>
      </c>
      <c r="Q312" s="478" t="str">
        <f>IFERROR(VLOOKUP(G312,MODULY_CBA!$B$3:$I$23,6,0),"")</f>
        <v>Inkrement 2</v>
      </c>
    </row>
    <row r="313" spans="1:17">
      <c r="A313" s="401">
        <v>311</v>
      </c>
      <c r="B313" s="401" t="s">
        <v>475</v>
      </c>
      <c r="C313" s="530" t="s">
        <v>772</v>
      </c>
      <c r="D313" s="530" t="s">
        <v>790</v>
      </c>
      <c r="E313" s="530"/>
      <c r="F313" s="389" t="s">
        <v>8</v>
      </c>
      <c r="G313" s="383" t="s">
        <v>255</v>
      </c>
      <c r="H313" s="379">
        <v>2</v>
      </c>
      <c r="I313" s="379">
        <v>5</v>
      </c>
      <c r="J313" s="379">
        <f t="shared" si="18"/>
        <v>2</v>
      </c>
      <c r="K313" s="379">
        <f t="shared" si="21"/>
        <v>10</v>
      </c>
      <c r="L313" s="643">
        <f>IFERROR(IF(B313="funkcna poziadavka",VLOOKUP(G313,MODULY_CBA!$B$3:$E$23,4,0)*H313/SUMIFS($H$3:$H$199,$G$3:$G$199,G313,$B$3:$B$199,B313),),)</f>
        <v>0.21323529411764705</v>
      </c>
      <c r="M313" s="379">
        <f>IFERROR(IF(B313="Funkcna poziadavka",VLOOKUP(G313,MODULY_CBA!$B$3:$E$23,3,0),),)</f>
        <v>0.93499999999999994</v>
      </c>
      <c r="N313" s="379">
        <f>IFERROR(IF(B313="funkcna poziadavka",VLOOKUP(G313,MODULY_CBA!$B$3:$E$23,2,0),),)</f>
        <v>1.18</v>
      </c>
      <c r="O313" s="378">
        <f t="shared" si="22"/>
        <v>11.268262499999999</v>
      </c>
      <c r="P313" s="377">
        <f>IFERROR(O313*VLOOKUP(G313,MODULY_CBA!$B$3:$F$23,5,0),)</f>
        <v>338.04787499999998</v>
      </c>
      <c r="Q313" s="478" t="str">
        <f>IFERROR(VLOOKUP(G313,MODULY_CBA!$B$3:$I$23,6,0),"")</f>
        <v>Inkrement 2</v>
      </c>
    </row>
    <row r="314" spans="1:17">
      <c r="A314" s="401">
        <v>312</v>
      </c>
      <c r="B314" s="401" t="s">
        <v>475</v>
      </c>
      <c r="C314" s="530" t="s">
        <v>772</v>
      </c>
      <c r="D314" s="530" t="s">
        <v>791</v>
      </c>
      <c r="E314" s="530"/>
      <c r="F314" s="389" t="s">
        <v>8</v>
      </c>
      <c r="G314" s="383" t="s">
        <v>255</v>
      </c>
      <c r="H314" s="379">
        <v>2</v>
      </c>
      <c r="I314" s="379">
        <v>5</v>
      </c>
      <c r="J314" s="379">
        <f t="shared" si="18"/>
        <v>2</v>
      </c>
      <c r="K314" s="379">
        <f t="shared" si="21"/>
        <v>10</v>
      </c>
      <c r="L314" s="643">
        <f>IFERROR(IF(B314="funkcna poziadavka",VLOOKUP(G314,MODULY_CBA!$B$3:$E$23,4,0)*H314/SUMIFS($H$3:$H$199,$G$3:$G$199,G314,$B$3:$B$199,B314),),)</f>
        <v>0.21323529411764705</v>
      </c>
      <c r="M314" s="379">
        <f>IFERROR(IF(B314="Funkcna poziadavka",VLOOKUP(G314,MODULY_CBA!$B$3:$E$23,3,0),),)</f>
        <v>0.93499999999999994</v>
      </c>
      <c r="N314" s="379">
        <f>IFERROR(IF(B314="funkcna poziadavka",VLOOKUP(G314,MODULY_CBA!$B$3:$E$23,2,0),),)</f>
        <v>1.18</v>
      </c>
      <c r="O314" s="378">
        <f t="shared" si="22"/>
        <v>11.268262499999999</v>
      </c>
      <c r="P314" s="377">
        <f>IFERROR(O314*VLOOKUP(G314,MODULY_CBA!$B$3:$F$23,5,0),)</f>
        <v>338.04787499999998</v>
      </c>
      <c r="Q314" s="478" t="str">
        <f>IFERROR(VLOOKUP(G314,MODULY_CBA!$B$3:$I$23,6,0),"")</f>
        <v>Inkrement 2</v>
      </c>
    </row>
    <row r="315" spans="1:17" ht="25.5">
      <c r="A315" s="401">
        <v>313</v>
      </c>
      <c r="B315" s="401" t="s">
        <v>475</v>
      </c>
      <c r="C315" s="530" t="s">
        <v>772</v>
      </c>
      <c r="D315" s="530" t="s">
        <v>792</v>
      </c>
      <c r="E315" s="530"/>
      <c r="F315" s="389" t="s">
        <v>8</v>
      </c>
      <c r="G315" s="383" t="s">
        <v>255</v>
      </c>
      <c r="H315" s="379">
        <v>2</v>
      </c>
      <c r="I315" s="379">
        <v>5</v>
      </c>
      <c r="J315" s="379">
        <f t="shared" si="18"/>
        <v>2</v>
      </c>
      <c r="K315" s="379">
        <f t="shared" si="21"/>
        <v>10</v>
      </c>
      <c r="L315" s="643">
        <f>IFERROR(IF(B315="funkcna poziadavka",VLOOKUP(G315,MODULY_CBA!$B$3:$E$23,4,0)*H315/SUMIFS($H$3:$H$199,$G$3:$G$199,G315,$B$3:$B$199,B315),),)</f>
        <v>0.21323529411764705</v>
      </c>
      <c r="M315" s="379">
        <f>IFERROR(IF(B315="Funkcna poziadavka",VLOOKUP(G315,MODULY_CBA!$B$3:$E$23,3,0),),)</f>
        <v>0.93499999999999994</v>
      </c>
      <c r="N315" s="379">
        <f>IFERROR(IF(B315="funkcna poziadavka",VLOOKUP(G315,MODULY_CBA!$B$3:$E$23,2,0),),)</f>
        <v>1.18</v>
      </c>
      <c r="O315" s="378">
        <f t="shared" si="22"/>
        <v>11.268262499999999</v>
      </c>
      <c r="P315" s="377">
        <f>IFERROR(O315*VLOOKUP(G315,MODULY_CBA!$B$3:$F$23,5,0),)</f>
        <v>338.04787499999998</v>
      </c>
      <c r="Q315" s="478" t="str">
        <f>IFERROR(VLOOKUP(G315,MODULY_CBA!$B$3:$I$23,6,0),"")</f>
        <v>Inkrement 2</v>
      </c>
    </row>
    <row r="316" spans="1:17">
      <c r="A316" s="401">
        <v>314</v>
      </c>
      <c r="B316" s="401" t="s">
        <v>475</v>
      </c>
      <c r="C316" s="530" t="s">
        <v>772</v>
      </c>
      <c r="D316" s="530" t="s">
        <v>793</v>
      </c>
      <c r="E316" s="530"/>
      <c r="F316" s="389" t="s">
        <v>8</v>
      </c>
      <c r="G316" s="383" t="s">
        <v>255</v>
      </c>
      <c r="H316" s="379">
        <v>2</v>
      </c>
      <c r="I316" s="379">
        <v>5</v>
      </c>
      <c r="J316" s="379">
        <f t="shared" si="18"/>
        <v>2</v>
      </c>
      <c r="K316" s="379">
        <f t="shared" si="21"/>
        <v>10</v>
      </c>
      <c r="L316" s="643">
        <f>IFERROR(IF(B316="funkcna poziadavka",VLOOKUP(G316,MODULY_CBA!$B$3:$E$23,4,0)*H316/SUMIFS($H$3:$H$199,$G$3:$G$199,G316,$B$3:$B$199,B316),),)</f>
        <v>0.21323529411764705</v>
      </c>
      <c r="M316" s="379">
        <f>IFERROR(IF(B316="Funkcna poziadavka",VLOOKUP(G316,MODULY_CBA!$B$3:$E$23,3,0),),)</f>
        <v>0.93499999999999994</v>
      </c>
      <c r="N316" s="379">
        <f>IFERROR(IF(B316="funkcna poziadavka",VLOOKUP(G316,MODULY_CBA!$B$3:$E$23,2,0),),)</f>
        <v>1.18</v>
      </c>
      <c r="O316" s="378">
        <f t="shared" si="22"/>
        <v>11.268262499999999</v>
      </c>
      <c r="P316" s="377">
        <f>IFERROR(O316*VLOOKUP(G316,MODULY_CBA!$B$3:$F$23,5,0),)</f>
        <v>338.04787499999998</v>
      </c>
      <c r="Q316" s="478" t="str">
        <f>IFERROR(VLOOKUP(G316,MODULY_CBA!$B$3:$I$23,6,0),"")</f>
        <v>Inkrement 2</v>
      </c>
    </row>
    <row r="317" spans="1:17" ht="25.5">
      <c r="A317" s="401">
        <v>315</v>
      </c>
      <c r="B317" s="401" t="s">
        <v>475</v>
      </c>
      <c r="C317" s="530" t="s">
        <v>772</v>
      </c>
      <c r="D317" s="530" t="s">
        <v>794</v>
      </c>
      <c r="E317" s="530"/>
      <c r="F317" s="389" t="s">
        <v>8</v>
      </c>
      <c r="G317" s="383" t="s">
        <v>255</v>
      </c>
      <c r="H317" s="379">
        <v>2</v>
      </c>
      <c r="I317" s="379">
        <v>5</v>
      </c>
      <c r="J317" s="379">
        <f t="shared" si="18"/>
        <v>2</v>
      </c>
      <c r="K317" s="379">
        <f t="shared" si="21"/>
        <v>10</v>
      </c>
      <c r="L317" s="643">
        <f>IFERROR(IF(B317="funkcna poziadavka",VLOOKUP(G317,MODULY_CBA!$B$3:$E$23,4,0)*H317/SUMIFS($H$3:$H$199,$G$3:$G$199,G317,$B$3:$B$199,B317),),)</f>
        <v>0.21323529411764705</v>
      </c>
      <c r="M317" s="379">
        <f>IFERROR(IF(B317="Funkcna poziadavka",VLOOKUP(G317,MODULY_CBA!$B$3:$E$23,3,0),),)</f>
        <v>0.93499999999999994</v>
      </c>
      <c r="N317" s="379">
        <f>IFERROR(IF(B317="funkcna poziadavka",VLOOKUP(G317,MODULY_CBA!$B$3:$E$23,2,0),),)</f>
        <v>1.18</v>
      </c>
      <c r="O317" s="378">
        <f t="shared" si="22"/>
        <v>11.268262499999999</v>
      </c>
      <c r="P317" s="377">
        <f>IFERROR(O317*VLOOKUP(G317,MODULY_CBA!$B$3:$F$23,5,0),)</f>
        <v>338.04787499999998</v>
      </c>
      <c r="Q317" s="478" t="str">
        <f>IFERROR(VLOOKUP(G317,MODULY_CBA!$B$3:$I$23,6,0),"")</f>
        <v>Inkrement 2</v>
      </c>
    </row>
    <row r="318" spans="1:17">
      <c r="A318" s="401">
        <v>316</v>
      </c>
      <c r="B318" s="401" t="s">
        <v>475</v>
      </c>
      <c r="C318" s="530" t="s">
        <v>772</v>
      </c>
      <c r="D318" s="530" t="s">
        <v>795</v>
      </c>
      <c r="E318" s="530"/>
      <c r="F318" s="389" t="s">
        <v>8</v>
      </c>
      <c r="G318" s="383" t="s">
        <v>255</v>
      </c>
      <c r="H318" s="379">
        <v>2</v>
      </c>
      <c r="I318" s="379">
        <v>5</v>
      </c>
      <c r="J318" s="379">
        <f t="shared" si="18"/>
        <v>2</v>
      </c>
      <c r="K318" s="379">
        <f t="shared" si="21"/>
        <v>10</v>
      </c>
      <c r="L318" s="643">
        <f>IFERROR(IF(B318="funkcna poziadavka",VLOOKUP(G318,MODULY_CBA!$B$3:$E$23,4,0)*H318/SUMIFS($H$3:$H$199,$G$3:$G$199,G318,$B$3:$B$199,B318),),)</f>
        <v>0.21323529411764705</v>
      </c>
      <c r="M318" s="379">
        <f>IFERROR(IF(B318="Funkcna poziadavka",VLOOKUP(G318,MODULY_CBA!$B$3:$E$23,3,0),),)</f>
        <v>0.93499999999999994</v>
      </c>
      <c r="N318" s="379">
        <f>IFERROR(IF(B318="funkcna poziadavka",VLOOKUP(G318,MODULY_CBA!$B$3:$E$23,2,0),),)</f>
        <v>1.18</v>
      </c>
      <c r="O318" s="378">
        <f t="shared" si="22"/>
        <v>11.268262499999999</v>
      </c>
      <c r="P318" s="377">
        <f>IFERROR(O318*VLOOKUP(G318,MODULY_CBA!$B$3:$F$23,5,0),)</f>
        <v>338.04787499999998</v>
      </c>
      <c r="Q318" s="478" t="str">
        <f>IFERROR(VLOOKUP(G318,MODULY_CBA!$B$3:$I$23,6,0),"")</f>
        <v>Inkrement 2</v>
      </c>
    </row>
    <row r="319" spans="1:17">
      <c r="A319" s="401">
        <v>317</v>
      </c>
      <c r="B319" s="401" t="s">
        <v>475</v>
      </c>
      <c r="C319" s="530" t="s">
        <v>772</v>
      </c>
      <c r="D319" s="530" t="s">
        <v>796</v>
      </c>
      <c r="E319" s="530"/>
      <c r="F319" s="389" t="s">
        <v>8</v>
      </c>
      <c r="G319" s="383" t="s">
        <v>255</v>
      </c>
      <c r="H319" s="379">
        <v>2</v>
      </c>
      <c r="I319" s="379">
        <v>5</v>
      </c>
      <c r="J319" s="379">
        <f t="shared" si="18"/>
        <v>2</v>
      </c>
      <c r="K319" s="379">
        <f t="shared" si="21"/>
        <v>10</v>
      </c>
      <c r="L319" s="643">
        <f>IFERROR(IF(B319="funkcna poziadavka",VLOOKUP(G319,MODULY_CBA!$B$3:$E$23,4,0)*H319/SUMIFS($H$3:$H$199,$G$3:$G$199,G319,$B$3:$B$199,B319),),)</f>
        <v>0.21323529411764705</v>
      </c>
      <c r="M319" s="379">
        <f>IFERROR(IF(B319="Funkcna poziadavka",VLOOKUP(G319,MODULY_CBA!$B$3:$E$23,3,0),),)</f>
        <v>0.93499999999999994</v>
      </c>
      <c r="N319" s="379">
        <f>IFERROR(IF(B319="funkcna poziadavka",VLOOKUP(G319,MODULY_CBA!$B$3:$E$23,2,0),),)</f>
        <v>1.18</v>
      </c>
      <c r="O319" s="378">
        <f t="shared" si="22"/>
        <v>11.268262499999999</v>
      </c>
      <c r="P319" s="377">
        <f>IFERROR(O319*VLOOKUP(G319,MODULY_CBA!$B$3:$F$23,5,0),)</f>
        <v>338.04787499999998</v>
      </c>
      <c r="Q319" s="478" t="str">
        <f>IFERROR(VLOOKUP(G319,MODULY_CBA!$B$3:$I$23,6,0),"")</f>
        <v>Inkrement 2</v>
      </c>
    </row>
    <row r="320" spans="1:17">
      <c r="A320" s="401">
        <v>318</v>
      </c>
      <c r="B320" s="401" t="s">
        <v>475</v>
      </c>
      <c r="C320" s="530" t="s">
        <v>772</v>
      </c>
      <c r="D320" s="530" t="s">
        <v>797</v>
      </c>
      <c r="E320" s="530"/>
      <c r="F320" s="389" t="s">
        <v>8</v>
      </c>
      <c r="G320" s="383" t="s">
        <v>255</v>
      </c>
      <c r="H320" s="379">
        <v>2</v>
      </c>
      <c r="I320" s="379">
        <v>5</v>
      </c>
      <c r="J320" s="379">
        <f t="shared" si="18"/>
        <v>2</v>
      </c>
      <c r="K320" s="379">
        <f t="shared" si="21"/>
        <v>10</v>
      </c>
      <c r="L320" s="643">
        <f>IFERROR(IF(B320="funkcna poziadavka",VLOOKUP(G320,MODULY_CBA!$B$3:$E$23,4,0)*H320/SUMIFS($H$3:$H$199,$G$3:$G$199,G320,$B$3:$B$199,B320),),)</f>
        <v>0.21323529411764705</v>
      </c>
      <c r="M320" s="379">
        <f>IFERROR(IF(B320="Funkcna poziadavka",VLOOKUP(G320,MODULY_CBA!$B$3:$E$23,3,0),),)</f>
        <v>0.93499999999999994</v>
      </c>
      <c r="N320" s="379">
        <f>IFERROR(IF(B320="funkcna poziadavka",VLOOKUP(G320,MODULY_CBA!$B$3:$E$23,2,0),),)</f>
        <v>1.18</v>
      </c>
      <c r="O320" s="378">
        <f t="shared" si="22"/>
        <v>11.268262499999999</v>
      </c>
      <c r="P320" s="377">
        <f>IFERROR(O320*VLOOKUP(G320,MODULY_CBA!$B$3:$F$23,5,0),)</f>
        <v>338.04787499999998</v>
      </c>
      <c r="Q320" s="478" t="str">
        <f>IFERROR(VLOOKUP(G320,MODULY_CBA!$B$3:$I$23,6,0),"")</f>
        <v>Inkrement 2</v>
      </c>
    </row>
    <row r="321" spans="1:17" ht="25.5">
      <c r="A321" s="401">
        <v>319</v>
      </c>
      <c r="B321" s="401" t="s">
        <v>475</v>
      </c>
      <c r="C321" s="530" t="s">
        <v>772</v>
      </c>
      <c r="D321" s="530" t="s">
        <v>798</v>
      </c>
      <c r="E321" s="530"/>
      <c r="F321" s="389" t="s">
        <v>8</v>
      </c>
      <c r="G321" s="383" t="s">
        <v>255</v>
      </c>
      <c r="H321" s="379">
        <v>2</v>
      </c>
      <c r="I321" s="379">
        <v>5</v>
      </c>
      <c r="J321" s="379">
        <f t="shared" si="18"/>
        <v>2</v>
      </c>
      <c r="K321" s="379">
        <f t="shared" si="21"/>
        <v>10</v>
      </c>
      <c r="L321" s="643">
        <f>IFERROR(IF(B321="funkcna poziadavka",VLOOKUP(G321,MODULY_CBA!$B$3:$E$23,4,0)*H321/SUMIFS($H$3:$H$199,$G$3:$G$199,G321,$B$3:$B$199,B321),),)</f>
        <v>0.21323529411764705</v>
      </c>
      <c r="M321" s="379">
        <f>IFERROR(IF(B321="Funkcna poziadavka",VLOOKUP(G321,MODULY_CBA!$B$3:$E$23,3,0),),)</f>
        <v>0.93499999999999994</v>
      </c>
      <c r="N321" s="379">
        <f>IFERROR(IF(B321="funkcna poziadavka",VLOOKUP(G321,MODULY_CBA!$B$3:$E$23,2,0),),)</f>
        <v>1.18</v>
      </c>
      <c r="O321" s="378">
        <f t="shared" si="22"/>
        <v>11.268262499999999</v>
      </c>
      <c r="P321" s="377">
        <f>IFERROR(O321*VLOOKUP(G321,MODULY_CBA!$B$3:$F$23,5,0),)</f>
        <v>338.04787499999998</v>
      </c>
      <c r="Q321" s="478" t="str">
        <f>IFERROR(VLOOKUP(G321,MODULY_CBA!$B$3:$I$23,6,0),"")</f>
        <v>Inkrement 2</v>
      </c>
    </row>
    <row r="322" spans="1:17">
      <c r="A322" s="401">
        <v>320</v>
      </c>
      <c r="B322" s="401" t="s">
        <v>475</v>
      </c>
      <c r="C322" s="530" t="s">
        <v>772</v>
      </c>
      <c r="D322" s="530" t="s">
        <v>799</v>
      </c>
      <c r="E322" s="530"/>
      <c r="F322" s="389" t="s">
        <v>8</v>
      </c>
      <c r="G322" s="383" t="s">
        <v>255</v>
      </c>
      <c r="H322" s="379">
        <v>2</v>
      </c>
      <c r="I322" s="379">
        <v>5</v>
      </c>
      <c r="J322" s="379">
        <f t="shared" si="18"/>
        <v>2</v>
      </c>
      <c r="K322" s="379">
        <f t="shared" si="21"/>
        <v>10</v>
      </c>
      <c r="L322" s="643">
        <f>IFERROR(IF(B322="funkcna poziadavka",VLOOKUP(G322,MODULY_CBA!$B$3:$E$23,4,0)*H322/SUMIFS($H$3:$H$199,$G$3:$G$199,G322,$B$3:$B$199,B322),),)</f>
        <v>0.21323529411764705</v>
      </c>
      <c r="M322" s="379">
        <f>IFERROR(IF(B322="Funkcna poziadavka",VLOOKUP(G322,MODULY_CBA!$B$3:$E$23,3,0),),)</f>
        <v>0.93499999999999994</v>
      </c>
      <c r="N322" s="379">
        <f>IFERROR(IF(B322="funkcna poziadavka",VLOOKUP(G322,MODULY_CBA!$B$3:$E$23,2,0),),)</f>
        <v>1.18</v>
      </c>
      <c r="O322" s="378">
        <f t="shared" si="22"/>
        <v>11.268262499999999</v>
      </c>
      <c r="P322" s="377">
        <f>IFERROR(O322*VLOOKUP(G322,MODULY_CBA!$B$3:$F$23,5,0),)</f>
        <v>338.04787499999998</v>
      </c>
      <c r="Q322" s="478" t="str">
        <f>IFERROR(VLOOKUP(G322,MODULY_CBA!$B$3:$I$23,6,0),"")</f>
        <v>Inkrement 2</v>
      </c>
    </row>
    <row r="323" spans="1:17">
      <c r="A323" s="401">
        <v>321</v>
      </c>
      <c r="B323" s="401" t="s">
        <v>475</v>
      </c>
      <c r="C323" s="530" t="s">
        <v>772</v>
      </c>
      <c r="D323" s="530" t="s">
        <v>779</v>
      </c>
      <c r="E323" s="530"/>
      <c r="F323" s="389" t="s">
        <v>8</v>
      </c>
      <c r="G323" s="383" t="s">
        <v>255</v>
      </c>
      <c r="H323" s="379">
        <v>2</v>
      </c>
      <c r="I323" s="379">
        <v>5</v>
      </c>
      <c r="J323" s="379">
        <f t="shared" si="18"/>
        <v>2</v>
      </c>
      <c r="K323" s="379">
        <f t="shared" si="21"/>
        <v>10</v>
      </c>
      <c r="L323" s="643">
        <f>IFERROR(IF(B323="funkcna poziadavka",VLOOKUP(G323,MODULY_CBA!$B$3:$E$23,4,0)*H323/SUMIFS($H$3:$H$199,$G$3:$G$199,G323,$B$3:$B$199,B323),),)</f>
        <v>0.21323529411764705</v>
      </c>
      <c r="M323" s="379">
        <f>IFERROR(IF(B323="Funkcna poziadavka",VLOOKUP(G323,MODULY_CBA!$B$3:$E$23,3,0),),)</f>
        <v>0.93499999999999994</v>
      </c>
      <c r="N323" s="379">
        <f>IFERROR(IF(B323="funkcna poziadavka",VLOOKUP(G323,MODULY_CBA!$B$3:$E$23,2,0),),)</f>
        <v>1.18</v>
      </c>
      <c r="O323" s="378">
        <f t="shared" si="22"/>
        <v>11.268262499999999</v>
      </c>
      <c r="P323" s="377">
        <f>IFERROR(O323*VLOOKUP(G323,MODULY_CBA!$B$3:$F$23,5,0),)</f>
        <v>338.04787499999998</v>
      </c>
      <c r="Q323" s="478" t="str">
        <f>IFERROR(VLOOKUP(G323,MODULY_CBA!$B$3:$I$23,6,0),"")</f>
        <v>Inkrement 2</v>
      </c>
    </row>
    <row r="324" spans="1:17">
      <c r="A324" s="401">
        <v>322</v>
      </c>
      <c r="B324" s="401" t="s">
        <v>475</v>
      </c>
      <c r="C324" s="530" t="s">
        <v>772</v>
      </c>
      <c r="D324" s="530" t="s">
        <v>800</v>
      </c>
      <c r="E324" s="530"/>
      <c r="F324" s="389" t="s">
        <v>8</v>
      </c>
      <c r="G324" s="383" t="s">
        <v>255</v>
      </c>
      <c r="H324" s="379">
        <v>2</v>
      </c>
      <c r="I324" s="379">
        <v>5</v>
      </c>
      <c r="J324" s="379">
        <f t="shared" ref="J324:J387" si="23">IF(ISNUMBER(H324),H324,)</f>
        <v>2</v>
      </c>
      <c r="K324" s="379">
        <f t="shared" si="21"/>
        <v>10</v>
      </c>
      <c r="L324" s="643">
        <f>IFERROR(IF(B324="funkcna poziadavka",VLOOKUP(G324,MODULY_CBA!$B$3:$E$23,4,0)*H324/SUMIFS($H$3:$H$199,$G$3:$G$199,G324,$B$3:$B$199,B324),),)</f>
        <v>0.21323529411764705</v>
      </c>
      <c r="M324" s="379">
        <f>IFERROR(IF(B324="Funkcna poziadavka",VLOOKUP(G324,MODULY_CBA!$B$3:$E$23,3,0),),)</f>
        <v>0.93499999999999994</v>
      </c>
      <c r="N324" s="379">
        <f>IFERROR(IF(B324="funkcna poziadavka",VLOOKUP(G324,MODULY_CBA!$B$3:$E$23,2,0),),)</f>
        <v>1.18</v>
      </c>
      <c r="O324" s="378">
        <f t="shared" si="22"/>
        <v>11.268262499999999</v>
      </c>
      <c r="P324" s="377">
        <f>IFERROR(O324*VLOOKUP(G324,MODULY_CBA!$B$3:$F$23,5,0),)</f>
        <v>338.04787499999998</v>
      </c>
      <c r="Q324" s="478" t="str">
        <f>IFERROR(VLOOKUP(G324,MODULY_CBA!$B$3:$I$23,6,0),"")</f>
        <v>Inkrement 2</v>
      </c>
    </row>
    <row r="325" spans="1:17">
      <c r="A325" s="401">
        <v>323</v>
      </c>
      <c r="B325" s="401" t="s">
        <v>475</v>
      </c>
      <c r="C325" s="530" t="s">
        <v>772</v>
      </c>
      <c r="D325" s="530" t="s">
        <v>801</v>
      </c>
      <c r="E325" s="530"/>
      <c r="F325" s="389" t="s">
        <v>8</v>
      </c>
      <c r="G325" s="383" t="s">
        <v>255</v>
      </c>
      <c r="H325" s="379">
        <v>2</v>
      </c>
      <c r="I325" s="379">
        <v>5</v>
      </c>
      <c r="J325" s="379">
        <f t="shared" si="23"/>
        <v>2</v>
      </c>
      <c r="K325" s="379">
        <f t="shared" si="21"/>
        <v>10</v>
      </c>
      <c r="L325" s="643">
        <f>IFERROR(IF(B325="funkcna poziadavka",VLOOKUP(G325,MODULY_CBA!$B$3:$E$23,4,0)*H325/SUMIFS($H$3:$H$199,$G$3:$G$199,G325,$B$3:$B$199,B325),),)</f>
        <v>0.21323529411764705</v>
      </c>
      <c r="M325" s="379">
        <f>IFERROR(IF(B325="Funkcna poziadavka",VLOOKUP(G325,MODULY_CBA!$B$3:$E$23,3,0),),)</f>
        <v>0.93499999999999994</v>
      </c>
      <c r="N325" s="379">
        <f>IFERROR(IF(B325="funkcna poziadavka",VLOOKUP(G325,MODULY_CBA!$B$3:$E$23,2,0),),)</f>
        <v>1.18</v>
      </c>
      <c r="O325" s="378">
        <f t="shared" si="22"/>
        <v>11.268262499999999</v>
      </c>
      <c r="P325" s="377">
        <f>IFERROR(O325*VLOOKUP(G325,MODULY_CBA!$B$3:$F$23,5,0),)</f>
        <v>338.04787499999998</v>
      </c>
      <c r="Q325" s="478" t="str">
        <f>IFERROR(VLOOKUP(G325,MODULY_CBA!$B$3:$I$23,6,0),"")</f>
        <v>Inkrement 2</v>
      </c>
    </row>
    <row r="326" spans="1:17">
      <c r="A326" s="401">
        <v>324</v>
      </c>
      <c r="B326" s="401" t="s">
        <v>475</v>
      </c>
      <c r="C326" s="530" t="s">
        <v>772</v>
      </c>
      <c r="D326" s="530" t="s">
        <v>802</v>
      </c>
      <c r="E326" s="530"/>
      <c r="F326" s="389" t="s">
        <v>8</v>
      </c>
      <c r="G326" s="383" t="s">
        <v>255</v>
      </c>
      <c r="H326" s="379">
        <v>2</v>
      </c>
      <c r="I326" s="379">
        <v>10</v>
      </c>
      <c r="J326" s="379">
        <f t="shared" si="23"/>
        <v>2</v>
      </c>
      <c r="K326" s="379">
        <f t="shared" si="21"/>
        <v>20</v>
      </c>
      <c r="L326" s="643">
        <f>IFERROR(IF(B326="funkcna poziadavka",VLOOKUP(G326,MODULY_CBA!$B$3:$E$23,4,0)*H326/SUMIFS($H$3:$H$199,$G$3:$G$199,G326,$B$3:$B$199,B326),),)</f>
        <v>0.21323529411764705</v>
      </c>
      <c r="M326" s="379">
        <f>IFERROR(IF(B326="Funkcna poziadavka",VLOOKUP(G326,MODULY_CBA!$B$3:$E$23,3,0),),)</f>
        <v>0.93499999999999994</v>
      </c>
      <c r="N326" s="379">
        <f>IFERROR(IF(B326="funkcna poziadavka",VLOOKUP(G326,MODULY_CBA!$B$3:$E$23,2,0),),)</f>
        <v>1.18</v>
      </c>
      <c r="O326" s="378">
        <f t="shared" si="22"/>
        <v>22.301262499999996</v>
      </c>
      <c r="P326" s="377">
        <f>IFERROR(O326*VLOOKUP(G326,MODULY_CBA!$B$3:$F$23,5,0),)</f>
        <v>669.03787499999987</v>
      </c>
      <c r="Q326" s="478" t="str">
        <f>IFERROR(VLOOKUP(G326,MODULY_CBA!$B$3:$I$23,6,0),"")</f>
        <v>Inkrement 2</v>
      </c>
    </row>
    <row r="327" spans="1:17">
      <c r="A327" s="401">
        <v>325</v>
      </c>
      <c r="B327" s="401" t="s">
        <v>475</v>
      </c>
      <c r="C327" s="530" t="s">
        <v>772</v>
      </c>
      <c r="D327" s="530" t="s">
        <v>803</v>
      </c>
      <c r="E327" s="530"/>
      <c r="F327" s="389" t="s">
        <v>8</v>
      </c>
      <c r="G327" s="383" t="s">
        <v>255</v>
      </c>
      <c r="H327" s="379">
        <v>2</v>
      </c>
      <c r="I327" s="379">
        <v>10</v>
      </c>
      <c r="J327" s="379">
        <f t="shared" si="23"/>
        <v>2</v>
      </c>
      <c r="K327" s="379">
        <f t="shared" si="21"/>
        <v>20</v>
      </c>
      <c r="L327" s="643">
        <f>IFERROR(IF(B327="funkcna poziadavka",VLOOKUP(G327,MODULY_CBA!$B$3:$E$23,4,0)*H327/SUMIFS($H$3:$H$199,$G$3:$G$199,G327,$B$3:$B$199,B327),),)</f>
        <v>0.21323529411764705</v>
      </c>
      <c r="M327" s="379">
        <f>IFERROR(IF(B327="Funkcna poziadavka",VLOOKUP(G327,MODULY_CBA!$B$3:$E$23,3,0),),)</f>
        <v>0.93499999999999994</v>
      </c>
      <c r="N327" s="379">
        <f>IFERROR(IF(B327="funkcna poziadavka",VLOOKUP(G327,MODULY_CBA!$B$3:$E$23,2,0),),)</f>
        <v>1.18</v>
      </c>
      <c r="O327" s="378">
        <f t="shared" si="22"/>
        <v>22.301262499999996</v>
      </c>
      <c r="P327" s="377">
        <f>IFERROR(O327*VLOOKUP(G327,MODULY_CBA!$B$3:$F$23,5,0),)</f>
        <v>669.03787499999987</v>
      </c>
      <c r="Q327" s="478" t="str">
        <f>IFERROR(VLOOKUP(G327,MODULY_CBA!$B$3:$I$23,6,0),"")</f>
        <v>Inkrement 2</v>
      </c>
    </row>
    <row r="328" spans="1:17">
      <c r="A328" s="401">
        <v>326</v>
      </c>
      <c r="B328" s="401" t="s">
        <v>475</v>
      </c>
      <c r="C328" s="530" t="s">
        <v>772</v>
      </c>
      <c r="D328" s="530" t="s">
        <v>804</v>
      </c>
      <c r="E328" s="530"/>
      <c r="F328" s="389" t="s">
        <v>8</v>
      </c>
      <c r="G328" s="383" t="s">
        <v>255</v>
      </c>
      <c r="H328" s="379">
        <v>2</v>
      </c>
      <c r="I328" s="379">
        <v>10</v>
      </c>
      <c r="J328" s="379">
        <f t="shared" si="23"/>
        <v>2</v>
      </c>
      <c r="K328" s="379">
        <f t="shared" si="21"/>
        <v>20</v>
      </c>
      <c r="L328" s="643">
        <f>IFERROR(IF(B328="funkcna poziadavka",VLOOKUP(G328,MODULY_CBA!$B$3:$E$23,4,0)*H328/SUMIFS($H$3:$H$199,$G$3:$G$199,G328,$B$3:$B$199,B328),),)</f>
        <v>0.21323529411764705</v>
      </c>
      <c r="M328" s="379">
        <f>IFERROR(IF(B328="Funkcna poziadavka",VLOOKUP(G328,MODULY_CBA!$B$3:$E$23,3,0),),)</f>
        <v>0.93499999999999994</v>
      </c>
      <c r="N328" s="379">
        <f>IFERROR(IF(B328="funkcna poziadavka",VLOOKUP(G328,MODULY_CBA!$B$3:$E$23,2,0),),)</f>
        <v>1.18</v>
      </c>
      <c r="O328" s="378">
        <f t="shared" si="22"/>
        <v>22.301262499999996</v>
      </c>
      <c r="P328" s="377">
        <f>IFERROR(O328*VLOOKUP(G328,MODULY_CBA!$B$3:$F$23,5,0),)</f>
        <v>669.03787499999987</v>
      </c>
      <c r="Q328" s="478" t="str">
        <f>IFERROR(VLOOKUP(G328,MODULY_CBA!$B$3:$I$23,6,0),"")</f>
        <v>Inkrement 2</v>
      </c>
    </row>
    <row r="329" spans="1:17">
      <c r="A329" s="401">
        <v>327</v>
      </c>
      <c r="B329" s="401" t="s">
        <v>475</v>
      </c>
      <c r="C329" s="530" t="s">
        <v>772</v>
      </c>
      <c r="D329" s="530" t="s">
        <v>805</v>
      </c>
      <c r="E329" s="530"/>
      <c r="F329" s="389" t="s">
        <v>8</v>
      </c>
      <c r="G329" s="383" t="s">
        <v>255</v>
      </c>
      <c r="H329" s="379">
        <v>2</v>
      </c>
      <c r="I329" s="379">
        <v>10</v>
      </c>
      <c r="J329" s="379">
        <f t="shared" si="23"/>
        <v>2</v>
      </c>
      <c r="K329" s="379">
        <f t="shared" si="21"/>
        <v>20</v>
      </c>
      <c r="L329" s="643">
        <f>IFERROR(IF(B329="funkcna poziadavka",VLOOKUP(G329,MODULY_CBA!$B$3:$E$23,4,0)*H329/SUMIFS($H$3:$H$199,$G$3:$G$199,G329,$B$3:$B$199,B329),),)</f>
        <v>0.21323529411764705</v>
      </c>
      <c r="M329" s="379">
        <f>IFERROR(IF(B329="Funkcna poziadavka",VLOOKUP(G329,MODULY_CBA!$B$3:$E$23,3,0),),)</f>
        <v>0.93499999999999994</v>
      </c>
      <c r="N329" s="379">
        <f>IFERROR(IF(B329="funkcna poziadavka",VLOOKUP(G329,MODULY_CBA!$B$3:$E$23,2,0),),)</f>
        <v>1.18</v>
      </c>
      <c r="O329" s="378">
        <f t="shared" si="22"/>
        <v>22.301262499999996</v>
      </c>
      <c r="P329" s="377">
        <f>IFERROR(O329*VLOOKUP(G329,MODULY_CBA!$B$3:$F$23,5,0),)</f>
        <v>669.03787499999987</v>
      </c>
      <c r="Q329" s="478" t="str">
        <f>IFERROR(VLOOKUP(G329,MODULY_CBA!$B$3:$I$23,6,0),"")</f>
        <v>Inkrement 2</v>
      </c>
    </row>
    <row r="330" spans="1:17">
      <c r="A330" s="401">
        <v>328</v>
      </c>
      <c r="B330" s="401" t="s">
        <v>475</v>
      </c>
      <c r="C330" s="530" t="s">
        <v>772</v>
      </c>
      <c r="D330" s="530" t="s">
        <v>806</v>
      </c>
      <c r="E330" s="530"/>
      <c r="F330" s="389" t="s">
        <v>8</v>
      </c>
      <c r="G330" s="383" t="s">
        <v>255</v>
      </c>
      <c r="H330" s="379">
        <v>2</v>
      </c>
      <c r="I330" s="379">
        <v>10</v>
      </c>
      <c r="J330" s="379">
        <f t="shared" si="23"/>
        <v>2</v>
      </c>
      <c r="K330" s="379">
        <f t="shared" si="21"/>
        <v>20</v>
      </c>
      <c r="L330" s="643">
        <f>IFERROR(IF(B330="funkcna poziadavka",VLOOKUP(G330,MODULY_CBA!$B$3:$E$23,4,0)*H330/SUMIFS($H$3:$H$199,$G$3:$G$199,G330,$B$3:$B$199,B330),),)</f>
        <v>0.21323529411764705</v>
      </c>
      <c r="M330" s="379">
        <f>IFERROR(IF(B330="Funkcna poziadavka",VLOOKUP(G330,MODULY_CBA!$B$3:$E$23,3,0),),)</f>
        <v>0.93499999999999994</v>
      </c>
      <c r="N330" s="379">
        <f>IFERROR(IF(B330="funkcna poziadavka",VLOOKUP(G330,MODULY_CBA!$B$3:$E$23,2,0),),)</f>
        <v>1.18</v>
      </c>
      <c r="O330" s="378">
        <f t="shared" si="22"/>
        <v>22.301262499999996</v>
      </c>
      <c r="P330" s="377">
        <f>IFERROR(O330*VLOOKUP(G330,MODULY_CBA!$B$3:$F$23,5,0),)</f>
        <v>669.03787499999987</v>
      </c>
      <c r="Q330" s="478" t="str">
        <f>IFERROR(VLOOKUP(G330,MODULY_CBA!$B$3:$I$23,6,0),"")</f>
        <v>Inkrement 2</v>
      </c>
    </row>
    <row r="331" spans="1:17">
      <c r="A331" s="401">
        <v>329</v>
      </c>
      <c r="B331" s="401" t="s">
        <v>475</v>
      </c>
      <c r="C331" s="530" t="s">
        <v>772</v>
      </c>
      <c r="D331" s="530" t="s">
        <v>807</v>
      </c>
      <c r="E331" s="530"/>
      <c r="F331" s="389" t="s">
        <v>8</v>
      </c>
      <c r="G331" s="383" t="s">
        <v>255</v>
      </c>
      <c r="H331" s="379">
        <v>2</v>
      </c>
      <c r="I331" s="379">
        <v>5</v>
      </c>
      <c r="J331" s="379">
        <f t="shared" si="23"/>
        <v>2</v>
      </c>
      <c r="K331" s="379">
        <f t="shared" si="21"/>
        <v>10</v>
      </c>
      <c r="L331" s="643">
        <f>IFERROR(IF(B331="funkcna poziadavka",VLOOKUP(G331,MODULY_CBA!$B$3:$E$23,4,0)*H331/SUMIFS($H$3:$H$199,$G$3:$G$199,G331,$B$3:$B$199,B331),),)</f>
        <v>0.21323529411764705</v>
      </c>
      <c r="M331" s="379">
        <f>IFERROR(IF(B331="Funkcna poziadavka",VLOOKUP(G331,MODULY_CBA!$B$3:$E$23,3,0),),)</f>
        <v>0.93499999999999994</v>
      </c>
      <c r="N331" s="379">
        <f>IFERROR(IF(B331="funkcna poziadavka",VLOOKUP(G331,MODULY_CBA!$B$3:$E$23,2,0),),)</f>
        <v>1.18</v>
      </c>
      <c r="O331" s="378">
        <f t="shared" si="22"/>
        <v>11.268262499999999</v>
      </c>
      <c r="P331" s="377">
        <f>IFERROR(O331*VLOOKUP(G331,MODULY_CBA!$B$3:$F$23,5,0),)</f>
        <v>338.04787499999998</v>
      </c>
      <c r="Q331" s="478" t="str">
        <f>IFERROR(VLOOKUP(G331,MODULY_CBA!$B$3:$I$23,6,0),"")</f>
        <v>Inkrement 2</v>
      </c>
    </row>
    <row r="332" spans="1:17">
      <c r="A332" s="401">
        <v>330</v>
      </c>
      <c r="B332" s="401" t="s">
        <v>475</v>
      </c>
      <c r="C332" s="530" t="s">
        <v>772</v>
      </c>
      <c r="D332" s="530" t="s">
        <v>808</v>
      </c>
      <c r="E332" s="530"/>
      <c r="F332" s="389" t="s">
        <v>8</v>
      </c>
      <c r="G332" s="383" t="s">
        <v>255</v>
      </c>
      <c r="H332" s="379">
        <v>2</v>
      </c>
      <c r="I332" s="379">
        <v>10</v>
      </c>
      <c r="J332" s="379">
        <f t="shared" si="23"/>
        <v>2</v>
      </c>
      <c r="K332" s="379">
        <f t="shared" si="21"/>
        <v>20</v>
      </c>
      <c r="L332" s="643">
        <f>IFERROR(IF(B332="funkcna poziadavka",VLOOKUP(G332,MODULY_CBA!$B$3:$E$23,4,0)*H332/SUMIFS($H$3:$H$199,$G$3:$G$199,G332,$B$3:$B$199,B332),),)</f>
        <v>0.21323529411764705</v>
      </c>
      <c r="M332" s="379">
        <f>IFERROR(IF(B332="Funkcna poziadavka",VLOOKUP(G332,MODULY_CBA!$B$3:$E$23,3,0),),)</f>
        <v>0.93499999999999994</v>
      </c>
      <c r="N332" s="379">
        <f>IFERROR(IF(B332="funkcna poziadavka",VLOOKUP(G332,MODULY_CBA!$B$3:$E$23,2,0),),)</f>
        <v>1.18</v>
      </c>
      <c r="O332" s="378">
        <f t="shared" si="22"/>
        <v>22.301262499999996</v>
      </c>
      <c r="P332" s="377">
        <f>IFERROR(O332*VLOOKUP(G332,MODULY_CBA!$B$3:$F$23,5,0),)</f>
        <v>669.03787499999987</v>
      </c>
      <c r="Q332" s="478" t="str">
        <f>IFERROR(VLOOKUP(G332,MODULY_CBA!$B$3:$I$23,6,0),"")</f>
        <v>Inkrement 2</v>
      </c>
    </row>
    <row r="333" spans="1:17">
      <c r="A333" s="401">
        <v>331</v>
      </c>
      <c r="B333" s="401" t="s">
        <v>475</v>
      </c>
      <c r="C333" s="530" t="s">
        <v>772</v>
      </c>
      <c r="D333" s="530" t="s">
        <v>809</v>
      </c>
      <c r="E333" s="530"/>
      <c r="F333" s="389" t="s">
        <v>8</v>
      </c>
      <c r="G333" s="383" t="s">
        <v>255</v>
      </c>
      <c r="H333" s="379">
        <v>2</v>
      </c>
      <c r="I333" s="379">
        <v>10</v>
      </c>
      <c r="J333" s="379">
        <f t="shared" si="23"/>
        <v>2</v>
      </c>
      <c r="K333" s="379">
        <f t="shared" si="21"/>
        <v>20</v>
      </c>
      <c r="L333" s="643">
        <f>IFERROR(IF(B333="funkcna poziadavka",VLOOKUP(G333,MODULY_CBA!$B$3:$E$23,4,0)*H333/SUMIFS($H$3:$H$199,$G$3:$G$199,G333,$B$3:$B$199,B333),),)</f>
        <v>0.21323529411764705</v>
      </c>
      <c r="M333" s="379">
        <f>IFERROR(IF(B333="Funkcna poziadavka",VLOOKUP(G333,MODULY_CBA!$B$3:$E$23,3,0),),)</f>
        <v>0.93499999999999994</v>
      </c>
      <c r="N333" s="379">
        <f>IFERROR(IF(B333="funkcna poziadavka",VLOOKUP(G333,MODULY_CBA!$B$3:$E$23,2,0),),)</f>
        <v>1.18</v>
      </c>
      <c r="O333" s="378">
        <f t="shared" si="22"/>
        <v>22.301262499999996</v>
      </c>
      <c r="P333" s="377">
        <f>IFERROR(O333*VLOOKUP(G333,MODULY_CBA!$B$3:$F$23,5,0),)</f>
        <v>669.03787499999987</v>
      </c>
      <c r="Q333" s="478" t="str">
        <f>IFERROR(VLOOKUP(G333,MODULY_CBA!$B$3:$I$23,6,0),"")</f>
        <v>Inkrement 2</v>
      </c>
    </row>
    <row r="334" spans="1:17">
      <c r="A334" s="401">
        <v>332</v>
      </c>
      <c r="B334" s="401" t="s">
        <v>475</v>
      </c>
      <c r="C334" s="530" t="s">
        <v>772</v>
      </c>
      <c r="D334" s="530" t="s">
        <v>810</v>
      </c>
      <c r="E334" s="530"/>
      <c r="F334" s="389" t="s">
        <v>8</v>
      </c>
      <c r="G334" s="383" t="s">
        <v>255</v>
      </c>
      <c r="H334" s="379">
        <v>2</v>
      </c>
      <c r="I334" s="379">
        <v>10</v>
      </c>
      <c r="J334" s="379">
        <f t="shared" si="23"/>
        <v>2</v>
      </c>
      <c r="K334" s="379">
        <f t="shared" si="21"/>
        <v>20</v>
      </c>
      <c r="L334" s="643">
        <f>IFERROR(IF(B334="funkcna poziadavka",VLOOKUP(G334,MODULY_CBA!$B$3:$E$23,4,0)*H334/SUMIFS($H$3:$H$199,$G$3:$G$199,G334,$B$3:$B$199,B334),),)</f>
        <v>0.21323529411764705</v>
      </c>
      <c r="M334" s="379">
        <f>IFERROR(IF(B334="Funkcna poziadavka",VLOOKUP(G334,MODULY_CBA!$B$3:$E$23,3,0),),)</f>
        <v>0.93499999999999994</v>
      </c>
      <c r="N334" s="379">
        <f>IFERROR(IF(B334="funkcna poziadavka",VLOOKUP(G334,MODULY_CBA!$B$3:$E$23,2,0),),)</f>
        <v>1.18</v>
      </c>
      <c r="O334" s="378">
        <f t="shared" si="22"/>
        <v>22.301262499999996</v>
      </c>
      <c r="P334" s="377">
        <f>IFERROR(O334*VLOOKUP(G334,MODULY_CBA!$B$3:$F$23,5,0),)</f>
        <v>669.03787499999987</v>
      </c>
      <c r="Q334" s="478" t="str">
        <f>IFERROR(VLOOKUP(G334,MODULY_CBA!$B$3:$I$23,6,0),"")</f>
        <v>Inkrement 2</v>
      </c>
    </row>
    <row r="335" spans="1:17">
      <c r="A335" s="401">
        <v>333</v>
      </c>
      <c r="B335" s="401" t="s">
        <v>475</v>
      </c>
      <c r="C335" s="530" t="s">
        <v>811</v>
      </c>
      <c r="D335" s="530" t="s">
        <v>812</v>
      </c>
      <c r="E335" s="530"/>
      <c r="F335" s="389" t="s">
        <v>8</v>
      </c>
      <c r="G335" s="383" t="s">
        <v>255</v>
      </c>
      <c r="H335" s="379">
        <v>2</v>
      </c>
      <c r="I335" s="379">
        <v>5</v>
      </c>
      <c r="J335" s="379">
        <f t="shared" si="23"/>
        <v>2</v>
      </c>
      <c r="K335" s="379">
        <f t="shared" ref="K335:K420" si="24">H335*I335</f>
        <v>10</v>
      </c>
      <c r="L335" s="643">
        <f>IFERROR(IF(B335="funkcna poziadavka",VLOOKUP(G335,MODULY_CBA!$B$3:$E$23,4,0)*H335/SUMIFS($H$3:$H$199,$G$3:$G$199,G335,$B$3:$B$199,B335),),)</f>
        <v>0.21323529411764705</v>
      </c>
      <c r="M335" s="379">
        <f>IFERROR(IF(B335="Funkcna poziadavka",VLOOKUP(G335,MODULY_CBA!$B$3:$E$23,3,0),),)</f>
        <v>0.93499999999999994</v>
      </c>
      <c r="N335" s="379">
        <f>IFERROR(IF(B335="funkcna poziadavka",VLOOKUP(G335,MODULY_CBA!$B$3:$E$23,2,0),),)</f>
        <v>1.18</v>
      </c>
      <c r="O335" s="378">
        <f t="shared" ref="O335:O420" si="25">(K335+L335)*M335*N335</f>
        <v>11.268262499999999</v>
      </c>
      <c r="P335" s="377">
        <f>IFERROR(O335*VLOOKUP(G335,MODULY_CBA!$B$3:$F$23,5,0),)</f>
        <v>338.04787499999998</v>
      </c>
      <c r="Q335" s="478" t="str">
        <f>IFERROR(VLOOKUP(G335,MODULY_CBA!$B$3:$I$23,6,0),"")</f>
        <v>Inkrement 2</v>
      </c>
    </row>
    <row r="336" spans="1:17">
      <c r="A336" s="401">
        <v>334</v>
      </c>
      <c r="B336" s="401" t="s">
        <v>475</v>
      </c>
      <c r="C336" s="530" t="s">
        <v>811</v>
      </c>
      <c r="D336" s="530" t="s">
        <v>813</v>
      </c>
      <c r="E336" s="530"/>
      <c r="F336" s="389" t="s">
        <v>8</v>
      </c>
      <c r="G336" s="383" t="s">
        <v>255</v>
      </c>
      <c r="H336" s="379">
        <v>2</v>
      </c>
      <c r="I336" s="379">
        <v>5</v>
      </c>
      <c r="J336" s="379">
        <f t="shared" si="23"/>
        <v>2</v>
      </c>
      <c r="K336" s="379">
        <f t="shared" si="24"/>
        <v>10</v>
      </c>
      <c r="L336" s="643">
        <f>IFERROR(IF(B336="funkcna poziadavka",VLOOKUP(G336,MODULY_CBA!$B$3:$E$23,4,0)*H336/SUMIFS($H$3:$H$199,$G$3:$G$199,G336,$B$3:$B$199,B336),),)</f>
        <v>0.21323529411764705</v>
      </c>
      <c r="M336" s="379">
        <f>IFERROR(IF(B336="Funkcna poziadavka",VLOOKUP(G336,MODULY_CBA!$B$3:$E$23,3,0),),)</f>
        <v>0.93499999999999994</v>
      </c>
      <c r="N336" s="379">
        <f>IFERROR(IF(B336="funkcna poziadavka",VLOOKUP(G336,MODULY_CBA!$B$3:$E$23,2,0),),)</f>
        <v>1.18</v>
      </c>
      <c r="O336" s="378">
        <f t="shared" si="25"/>
        <v>11.268262499999999</v>
      </c>
      <c r="P336" s="377">
        <f>IFERROR(O336*VLOOKUP(G336,MODULY_CBA!$B$3:$F$23,5,0),)</f>
        <v>338.04787499999998</v>
      </c>
      <c r="Q336" s="478" t="str">
        <f>IFERROR(VLOOKUP(G336,MODULY_CBA!$B$3:$I$23,6,0),"")</f>
        <v>Inkrement 2</v>
      </c>
    </row>
    <row r="337" spans="1:17">
      <c r="A337" s="401">
        <v>335</v>
      </c>
      <c r="B337" s="401" t="s">
        <v>475</v>
      </c>
      <c r="C337" s="530" t="s">
        <v>811</v>
      </c>
      <c r="D337" s="530" t="s">
        <v>814</v>
      </c>
      <c r="E337" s="530"/>
      <c r="F337" s="389" t="s">
        <v>8</v>
      </c>
      <c r="G337" s="383" t="s">
        <v>255</v>
      </c>
      <c r="H337" s="379">
        <v>2</v>
      </c>
      <c r="I337" s="379">
        <v>5</v>
      </c>
      <c r="J337" s="379">
        <f t="shared" si="23"/>
        <v>2</v>
      </c>
      <c r="K337" s="379">
        <f t="shared" si="24"/>
        <v>10</v>
      </c>
      <c r="L337" s="643">
        <f>IFERROR(IF(B337="funkcna poziadavka",VLOOKUP(G337,MODULY_CBA!$B$3:$E$23,4,0)*H337/SUMIFS($H$3:$H$199,$G$3:$G$199,G337,$B$3:$B$199,B337),),)</f>
        <v>0.21323529411764705</v>
      </c>
      <c r="M337" s="379">
        <f>IFERROR(IF(B337="Funkcna poziadavka",VLOOKUP(G337,MODULY_CBA!$B$3:$E$23,3,0),),)</f>
        <v>0.93499999999999994</v>
      </c>
      <c r="N337" s="379">
        <f>IFERROR(IF(B337="funkcna poziadavka",VLOOKUP(G337,MODULY_CBA!$B$3:$E$23,2,0),),)</f>
        <v>1.18</v>
      </c>
      <c r="O337" s="378">
        <f t="shared" si="25"/>
        <v>11.268262499999999</v>
      </c>
      <c r="P337" s="377">
        <f>IFERROR(O337*VLOOKUP(G337,MODULY_CBA!$B$3:$F$23,5,0),)</f>
        <v>338.04787499999998</v>
      </c>
      <c r="Q337" s="478" t="str">
        <f>IFERROR(VLOOKUP(G337,MODULY_CBA!$B$3:$I$23,6,0),"")</f>
        <v>Inkrement 2</v>
      </c>
    </row>
    <row r="338" spans="1:17">
      <c r="A338" s="401">
        <v>336</v>
      </c>
      <c r="B338" s="401" t="s">
        <v>475</v>
      </c>
      <c r="C338" s="530" t="s">
        <v>811</v>
      </c>
      <c r="D338" s="530" t="s">
        <v>815</v>
      </c>
      <c r="E338" s="530"/>
      <c r="F338" s="389" t="s">
        <v>8</v>
      </c>
      <c r="G338" s="383" t="s">
        <v>255</v>
      </c>
      <c r="H338" s="379">
        <v>2</v>
      </c>
      <c r="I338" s="379">
        <v>5</v>
      </c>
      <c r="J338" s="379">
        <f t="shared" si="23"/>
        <v>2</v>
      </c>
      <c r="K338" s="379">
        <f t="shared" si="24"/>
        <v>10</v>
      </c>
      <c r="L338" s="643">
        <f>IFERROR(IF(B338="funkcna poziadavka",VLOOKUP(G338,MODULY_CBA!$B$3:$E$23,4,0)*H338/SUMIFS($H$3:$H$199,$G$3:$G$199,G338,$B$3:$B$199,B338),),)</f>
        <v>0.21323529411764705</v>
      </c>
      <c r="M338" s="379">
        <f>IFERROR(IF(B338="Funkcna poziadavka",VLOOKUP(G338,MODULY_CBA!$B$3:$E$23,3,0),),)</f>
        <v>0.93499999999999994</v>
      </c>
      <c r="N338" s="379">
        <f>IFERROR(IF(B338="funkcna poziadavka",VLOOKUP(G338,MODULY_CBA!$B$3:$E$23,2,0),),)</f>
        <v>1.18</v>
      </c>
      <c r="O338" s="378">
        <f t="shared" si="25"/>
        <v>11.268262499999999</v>
      </c>
      <c r="P338" s="377">
        <f>IFERROR(O338*VLOOKUP(G338,MODULY_CBA!$B$3:$F$23,5,0),)</f>
        <v>338.04787499999998</v>
      </c>
      <c r="Q338" s="478" t="str">
        <f>IFERROR(VLOOKUP(G338,MODULY_CBA!$B$3:$I$23,6,0),"")</f>
        <v>Inkrement 2</v>
      </c>
    </row>
    <row r="339" spans="1:17">
      <c r="A339" s="401">
        <v>337</v>
      </c>
      <c r="B339" s="401" t="s">
        <v>475</v>
      </c>
      <c r="C339" s="530" t="s">
        <v>811</v>
      </c>
      <c r="D339" s="530" t="s">
        <v>816</v>
      </c>
      <c r="E339" s="530"/>
      <c r="F339" s="389" t="s">
        <v>8</v>
      </c>
      <c r="G339" s="383" t="s">
        <v>255</v>
      </c>
      <c r="H339" s="379">
        <v>2</v>
      </c>
      <c r="I339" s="379">
        <v>5</v>
      </c>
      <c r="J339" s="379">
        <f t="shared" si="23"/>
        <v>2</v>
      </c>
      <c r="K339" s="379">
        <f t="shared" si="24"/>
        <v>10</v>
      </c>
      <c r="L339" s="643">
        <f>IFERROR(IF(B339="funkcna poziadavka",VLOOKUP(G339,MODULY_CBA!$B$3:$E$23,4,0)*H339/SUMIFS($H$3:$H$199,$G$3:$G$199,G339,$B$3:$B$199,B339),),)</f>
        <v>0.21323529411764705</v>
      </c>
      <c r="M339" s="379">
        <f>IFERROR(IF(B339="Funkcna poziadavka",VLOOKUP(G339,MODULY_CBA!$B$3:$E$23,3,0),),)</f>
        <v>0.93499999999999994</v>
      </c>
      <c r="N339" s="379">
        <f>IFERROR(IF(B339="funkcna poziadavka",VLOOKUP(G339,MODULY_CBA!$B$3:$E$23,2,0),),)</f>
        <v>1.18</v>
      </c>
      <c r="O339" s="378">
        <f t="shared" si="25"/>
        <v>11.268262499999999</v>
      </c>
      <c r="P339" s="377">
        <f>IFERROR(O339*VLOOKUP(G339,MODULY_CBA!$B$3:$F$23,5,0),)</f>
        <v>338.04787499999998</v>
      </c>
      <c r="Q339" s="478" t="str">
        <f>IFERROR(VLOOKUP(G339,MODULY_CBA!$B$3:$I$23,6,0),"")</f>
        <v>Inkrement 2</v>
      </c>
    </row>
    <row r="340" spans="1:17">
      <c r="A340" s="401">
        <v>338</v>
      </c>
      <c r="B340" s="401" t="s">
        <v>475</v>
      </c>
      <c r="C340" s="530" t="s">
        <v>817</v>
      </c>
      <c r="D340" s="530" t="s">
        <v>818</v>
      </c>
      <c r="E340" s="530"/>
      <c r="F340" s="389" t="s">
        <v>8</v>
      </c>
      <c r="G340" s="383" t="s">
        <v>258</v>
      </c>
      <c r="H340" s="379">
        <v>1</v>
      </c>
      <c r="I340" s="379">
        <v>5</v>
      </c>
      <c r="J340" s="379">
        <f t="shared" si="23"/>
        <v>1</v>
      </c>
      <c r="K340" s="379">
        <f t="shared" si="24"/>
        <v>5</v>
      </c>
      <c r="L340" s="643">
        <f>IFERROR(IF(B340="funkcna poziadavka",VLOOKUP(G340,MODULY_CBA!$B$3:$E$23,4,0)*H340/SUMIFS($H$3:$H$199,$G$3:$G$199,G340,$B$3:$B$199,B340),),)</f>
        <v>0</v>
      </c>
      <c r="M340" s="379">
        <f>IFERROR(IF(B340="Funkcna poziadavka",VLOOKUP(G340,MODULY_CBA!$B$3:$E$23,3,0),),)</f>
        <v>0.93499999999999994</v>
      </c>
      <c r="N340" s="379">
        <f>IFERROR(IF(B340="funkcna poziadavka",VLOOKUP(G340,MODULY_CBA!$B$3:$E$23,2,0),),)</f>
        <v>1.18</v>
      </c>
      <c r="O340" s="378">
        <f t="shared" si="25"/>
        <v>5.5164999999999997</v>
      </c>
      <c r="P340" s="377">
        <f>IFERROR(O340*VLOOKUP(G340,MODULY_CBA!$B$3:$F$23,5,0),)</f>
        <v>165.495</v>
      </c>
      <c r="Q340" s="478" t="str">
        <f>IFERROR(VLOOKUP(G340,MODULY_CBA!$B$3:$I$23,6,0),"")</f>
        <v>Inkrement 2</v>
      </c>
    </row>
    <row r="341" spans="1:17">
      <c r="A341" s="401">
        <v>339</v>
      </c>
      <c r="B341" s="401" t="s">
        <v>475</v>
      </c>
      <c r="C341" s="530" t="s">
        <v>817</v>
      </c>
      <c r="D341" s="530" t="s">
        <v>819</v>
      </c>
      <c r="E341" s="530"/>
      <c r="F341" s="389" t="s">
        <v>8</v>
      </c>
      <c r="G341" s="383" t="s">
        <v>258</v>
      </c>
      <c r="H341" s="379">
        <v>1</v>
      </c>
      <c r="I341" s="379">
        <v>5</v>
      </c>
      <c r="J341" s="379">
        <f t="shared" si="23"/>
        <v>1</v>
      </c>
      <c r="K341" s="379">
        <f t="shared" si="24"/>
        <v>5</v>
      </c>
      <c r="L341" s="643">
        <f>IFERROR(IF(B341="funkcna poziadavka",VLOOKUP(G341,MODULY_CBA!$B$3:$E$23,4,0)*H341/SUMIFS($H$3:$H$199,$G$3:$G$199,G341,$B$3:$B$199,B341),),)</f>
        <v>0</v>
      </c>
      <c r="M341" s="379">
        <f>IFERROR(IF(B341="Funkcna poziadavka",VLOOKUP(G341,MODULY_CBA!$B$3:$E$23,3,0),),)</f>
        <v>0.93499999999999994</v>
      </c>
      <c r="N341" s="379">
        <f>IFERROR(IF(B341="funkcna poziadavka",VLOOKUP(G341,MODULY_CBA!$B$3:$E$23,2,0),),)</f>
        <v>1.18</v>
      </c>
      <c r="O341" s="378">
        <f t="shared" si="25"/>
        <v>5.5164999999999997</v>
      </c>
      <c r="P341" s="377">
        <f>IFERROR(O341*VLOOKUP(G341,MODULY_CBA!$B$3:$F$23,5,0),)</f>
        <v>165.495</v>
      </c>
      <c r="Q341" s="478" t="str">
        <f>IFERROR(VLOOKUP(G341,MODULY_CBA!$B$3:$I$23,6,0),"")</f>
        <v>Inkrement 2</v>
      </c>
    </row>
    <row r="342" spans="1:17">
      <c r="A342" s="401">
        <v>340</v>
      </c>
      <c r="B342" s="401" t="s">
        <v>475</v>
      </c>
      <c r="C342" s="530" t="s">
        <v>817</v>
      </c>
      <c r="D342" s="530" t="s">
        <v>820</v>
      </c>
      <c r="E342" s="530"/>
      <c r="F342" s="389" t="s">
        <v>8</v>
      </c>
      <c r="G342" s="383" t="s">
        <v>258</v>
      </c>
      <c r="H342" s="379">
        <v>1</v>
      </c>
      <c r="I342" s="379">
        <v>5</v>
      </c>
      <c r="J342" s="379">
        <f t="shared" si="23"/>
        <v>1</v>
      </c>
      <c r="K342" s="379">
        <f t="shared" si="24"/>
        <v>5</v>
      </c>
      <c r="L342" s="643">
        <f>IFERROR(IF(B342="funkcna poziadavka",VLOOKUP(G342,MODULY_CBA!$B$3:$E$23,4,0)*H342/SUMIFS($H$3:$H$199,$G$3:$G$199,G342,$B$3:$B$199,B342),),)</f>
        <v>0</v>
      </c>
      <c r="M342" s="379">
        <f>IFERROR(IF(B342="Funkcna poziadavka",VLOOKUP(G342,MODULY_CBA!$B$3:$E$23,3,0),),)</f>
        <v>0.93499999999999994</v>
      </c>
      <c r="N342" s="379">
        <f>IFERROR(IF(B342="funkcna poziadavka",VLOOKUP(G342,MODULY_CBA!$B$3:$E$23,2,0),),)</f>
        <v>1.18</v>
      </c>
      <c r="O342" s="378">
        <f t="shared" si="25"/>
        <v>5.5164999999999997</v>
      </c>
      <c r="P342" s="377">
        <f>IFERROR(O342*VLOOKUP(G342,MODULY_CBA!$B$3:$F$23,5,0),)</f>
        <v>165.495</v>
      </c>
      <c r="Q342" s="478" t="str">
        <f>IFERROR(VLOOKUP(G342,MODULY_CBA!$B$3:$I$23,6,0),"")</f>
        <v>Inkrement 2</v>
      </c>
    </row>
    <row r="343" spans="1:17">
      <c r="A343" s="401">
        <v>341</v>
      </c>
      <c r="B343" s="401" t="s">
        <v>475</v>
      </c>
      <c r="C343" s="530" t="s">
        <v>817</v>
      </c>
      <c r="D343" s="530" t="s">
        <v>821</v>
      </c>
      <c r="E343" s="530"/>
      <c r="F343" s="389" t="s">
        <v>8</v>
      </c>
      <c r="G343" s="383" t="s">
        <v>258</v>
      </c>
      <c r="H343" s="379">
        <v>1</v>
      </c>
      <c r="I343" s="379">
        <v>10</v>
      </c>
      <c r="J343" s="379">
        <f t="shared" si="23"/>
        <v>1</v>
      </c>
      <c r="K343" s="379">
        <f t="shared" si="24"/>
        <v>10</v>
      </c>
      <c r="L343" s="643">
        <f>IFERROR(IF(B343="funkcna poziadavka",VLOOKUP(G343,MODULY_CBA!$B$3:$E$23,4,0)*H343/SUMIFS($H$3:$H$199,$G$3:$G$199,G343,$B$3:$B$199,B343),),)</f>
        <v>0</v>
      </c>
      <c r="M343" s="379">
        <f>IFERROR(IF(B343="Funkcna poziadavka",VLOOKUP(G343,MODULY_CBA!$B$3:$E$23,3,0),),)</f>
        <v>0.93499999999999994</v>
      </c>
      <c r="N343" s="379">
        <f>IFERROR(IF(B343="funkcna poziadavka",VLOOKUP(G343,MODULY_CBA!$B$3:$E$23,2,0),),)</f>
        <v>1.18</v>
      </c>
      <c r="O343" s="378">
        <f t="shared" si="25"/>
        <v>11.032999999999999</v>
      </c>
      <c r="P343" s="377">
        <f>IFERROR(O343*VLOOKUP(G343,MODULY_CBA!$B$3:$F$23,5,0),)</f>
        <v>330.99</v>
      </c>
      <c r="Q343" s="478" t="str">
        <f>IFERROR(VLOOKUP(G343,MODULY_CBA!$B$3:$I$23,6,0),"")</f>
        <v>Inkrement 2</v>
      </c>
    </row>
    <row r="344" spans="1:17">
      <c r="A344" s="401">
        <v>342</v>
      </c>
      <c r="B344" s="401" t="s">
        <v>475</v>
      </c>
      <c r="C344" s="530" t="s">
        <v>817</v>
      </c>
      <c r="D344" s="530" t="s">
        <v>822</v>
      </c>
      <c r="E344" s="530"/>
      <c r="F344" s="389" t="s">
        <v>8</v>
      </c>
      <c r="G344" s="383" t="s">
        <v>258</v>
      </c>
      <c r="H344" s="379">
        <v>1</v>
      </c>
      <c r="I344" s="379">
        <v>5</v>
      </c>
      <c r="J344" s="379">
        <f t="shared" si="23"/>
        <v>1</v>
      </c>
      <c r="K344" s="379">
        <f t="shared" si="24"/>
        <v>5</v>
      </c>
      <c r="L344" s="643">
        <f>IFERROR(IF(B344="funkcna poziadavka",VLOOKUP(G344,MODULY_CBA!$B$3:$E$23,4,0)*H344/SUMIFS($H$3:$H$199,$G$3:$G$199,G344,$B$3:$B$199,B344),),)</f>
        <v>0</v>
      </c>
      <c r="M344" s="379">
        <f>IFERROR(IF(B344="Funkcna poziadavka",VLOOKUP(G344,MODULY_CBA!$B$3:$E$23,3,0),),)</f>
        <v>0.93499999999999994</v>
      </c>
      <c r="N344" s="379">
        <f>IFERROR(IF(B344="funkcna poziadavka",VLOOKUP(G344,MODULY_CBA!$B$3:$E$23,2,0),),)</f>
        <v>1.18</v>
      </c>
      <c r="O344" s="378">
        <f t="shared" si="25"/>
        <v>5.5164999999999997</v>
      </c>
      <c r="P344" s="377">
        <f>IFERROR(O344*VLOOKUP(G344,MODULY_CBA!$B$3:$F$23,5,0),)</f>
        <v>165.495</v>
      </c>
      <c r="Q344" s="478" t="str">
        <f>IFERROR(VLOOKUP(G344,MODULY_CBA!$B$3:$I$23,6,0),"")</f>
        <v>Inkrement 2</v>
      </c>
    </row>
    <row r="345" spans="1:17">
      <c r="A345" s="401">
        <v>343</v>
      </c>
      <c r="B345" s="401" t="s">
        <v>475</v>
      </c>
      <c r="C345" s="530" t="s">
        <v>817</v>
      </c>
      <c r="D345" s="530" t="s">
        <v>823</v>
      </c>
      <c r="E345" s="530"/>
      <c r="F345" s="389" t="s">
        <v>8</v>
      </c>
      <c r="G345" s="383" t="s">
        <v>258</v>
      </c>
      <c r="H345" s="379">
        <v>1</v>
      </c>
      <c r="I345" s="379">
        <v>5</v>
      </c>
      <c r="J345" s="379">
        <f t="shared" si="23"/>
        <v>1</v>
      </c>
      <c r="K345" s="379">
        <f t="shared" si="24"/>
        <v>5</v>
      </c>
      <c r="L345" s="643">
        <f>IFERROR(IF(B345="funkcna poziadavka",VLOOKUP(G345,MODULY_CBA!$B$3:$E$23,4,0)*H345/SUMIFS($H$3:$H$199,$G$3:$G$199,G345,$B$3:$B$199,B345),),)</f>
        <v>0</v>
      </c>
      <c r="M345" s="379">
        <f>IFERROR(IF(B345="Funkcna poziadavka",VLOOKUP(G345,MODULY_CBA!$B$3:$E$23,3,0),),)</f>
        <v>0.93499999999999994</v>
      </c>
      <c r="N345" s="379">
        <f>IFERROR(IF(B345="funkcna poziadavka",VLOOKUP(G345,MODULY_CBA!$B$3:$E$23,2,0),),)</f>
        <v>1.18</v>
      </c>
      <c r="O345" s="378">
        <f t="shared" si="25"/>
        <v>5.5164999999999997</v>
      </c>
      <c r="P345" s="377">
        <f>IFERROR(O345*VLOOKUP(G345,MODULY_CBA!$B$3:$F$23,5,0),)</f>
        <v>165.495</v>
      </c>
      <c r="Q345" s="478" t="str">
        <f>IFERROR(VLOOKUP(G345,MODULY_CBA!$B$3:$I$23,6,0),"")</f>
        <v>Inkrement 2</v>
      </c>
    </row>
    <row r="346" spans="1:17">
      <c r="A346" s="401">
        <v>344</v>
      </c>
      <c r="B346" s="401" t="s">
        <v>475</v>
      </c>
      <c r="C346" s="530" t="s">
        <v>817</v>
      </c>
      <c r="D346" s="530" t="s">
        <v>824</v>
      </c>
      <c r="E346" s="530"/>
      <c r="F346" s="389" t="s">
        <v>8</v>
      </c>
      <c r="G346" s="383" t="s">
        <v>258</v>
      </c>
      <c r="H346" s="379">
        <v>1</v>
      </c>
      <c r="I346" s="379">
        <v>5</v>
      </c>
      <c r="J346" s="379">
        <f t="shared" si="23"/>
        <v>1</v>
      </c>
      <c r="K346" s="379">
        <f t="shared" si="24"/>
        <v>5</v>
      </c>
      <c r="L346" s="643">
        <f>IFERROR(IF(B346="funkcna poziadavka",VLOOKUP(G346,MODULY_CBA!$B$3:$E$23,4,0)*H346/SUMIFS($H$3:$H$199,$G$3:$G$199,G346,$B$3:$B$199,B346),),)</f>
        <v>0</v>
      </c>
      <c r="M346" s="379">
        <f>IFERROR(IF(B346="Funkcna poziadavka",VLOOKUP(G346,MODULY_CBA!$B$3:$E$23,3,0),),)</f>
        <v>0.93499999999999994</v>
      </c>
      <c r="N346" s="379">
        <f>IFERROR(IF(B346="funkcna poziadavka",VLOOKUP(G346,MODULY_CBA!$B$3:$E$23,2,0),),)</f>
        <v>1.18</v>
      </c>
      <c r="O346" s="378">
        <f t="shared" si="25"/>
        <v>5.5164999999999997</v>
      </c>
      <c r="P346" s="377">
        <f>IFERROR(O346*VLOOKUP(G346,MODULY_CBA!$B$3:$F$23,5,0),)</f>
        <v>165.495</v>
      </c>
      <c r="Q346" s="478" t="str">
        <f>IFERROR(VLOOKUP(G346,MODULY_CBA!$B$3:$I$23,6,0),"")</f>
        <v>Inkrement 2</v>
      </c>
    </row>
    <row r="347" spans="1:17">
      <c r="A347" s="401">
        <v>345</v>
      </c>
      <c r="B347" s="401" t="s">
        <v>475</v>
      </c>
      <c r="C347" s="530" t="s">
        <v>817</v>
      </c>
      <c r="D347" s="530" t="s">
        <v>825</v>
      </c>
      <c r="E347" s="530"/>
      <c r="F347" s="389" t="s">
        <v>8</v>
      </c>
      <c r="G347" s="383" t="s">
        <v>258</v>
      </c>
      <c r="H347" s="379">
        <v>1</v>
      </c>
      <c r="I347" s="379">
        <v>10</v>
      </c>
      <c r="J347" s="379">
        <f t="shared" si="23"/>
        <v>1</v>
      </c>
      <c r="K347" s="379">
        <f t="shared" si="24"/>
        <v>10</v>
      </c>
      <c r="L347" s="643">
        <f>IFERROR(IF(B347="funkcna poziadavka",VLOOKUP(G347,MODULY_CBA!$B$3:$E$23,4,0)*H347/SUMIFS($H$3:$H$199,$G$3:$G$199,G347,$B$3:$B$199,B347),),)</f>
        <v>0</v>
      </c>
      <c r="M347" s="379">
        <f>IFERROR(IF(B347="Funkcna poziadavka",VLOOKUP(G347,MODULY_CBA!$B$3:$E$23,3,0),),)</f>
        <v>0.93499999999999994</v>
      </c>
      <c r="N347" s="379">
        <f>IFERROR(IF(B347="funkcna poziadavka",VLOOKUP(G347,MODULY_CBA!$B$3:$E$23,2,0),),)</f>
        <v>1.18</v>
      </c>
      <c r="O347" s="378">
        <f t="shared" si="25"/>
        <v>11.032999999999999</v>
      </c>
      <c r="P347" s="377">
        <f>IFERROR(O347*VLOOKUP(G347,MODULY_CBA!$B$3:$F$23,5,0),)</f>
        <v>330.99</v>
      </c>
      <c r="Q347" s="478" t="str">
        <f>IFERROR(VLOOKUP(G347,MODULY_CBA!$B$3:$I$23,6,0),"")</f>
        <v>Inkrement 2</v>
      </c>
    </row>
    <row r="348" spans="1:17">
      <c r="A348" s="401">
        <v>346</v>
      </c>
      <c r="B348" s="401" t="s">
        <v>475</v>
      </c>
      <c r="C348" s="530" t="s">
        <v>817</v>
      </c>
      <c r="D348" s="530" t="s">
        <v>826</v>
      </c>
      <c r="E348" s="530"/>
      <c r="F348" s="389" t="s">
        <v>8</v>
      </c>
      <c r="G348" s="383" t="s">
        <v>258</v>
      </c>
      <c r="H348" s="379">
        <v>1</v>
      </c>
      <c r="I348" s="379">
        <v>10</v>
      </c>
      <c r="J348" s="379">
        <f t="shared" si="23"/>
        <v>1</v>
      </c>
      <c r="K348" s="379">
        <f t="shared" si="24"/>
        <v>10</v>
      </c>
      <c r="L348" s="643">
        <f>IFERROR(IF(B348="funkcna poziadavka",VLOOKUP(G348,MODULY_CBA!$B$3:$E$23,4,0)*H348/SUMIFS($H$3:$H$199,$G$3:$G$199,G348,$B$3:$B$199,B348),),)</f>
        <v>0</v>
      </c>
      <c r="M348" s="379">
        <f>IFERROR(IF(B348="Funkcna poziadavka",VLOOKUP(G348,MODULY_CBA!$B$3:$E$23,3,0),),)</f>
        <v>0.93499999999999994</v>
      </c>
      <c r="N348" s="379">
        <f>IFERROR(IF(B348="funkcna poziadavka",VLOOKUP(G348,MODULY_CBA!$B$3:$E$23,2,0),),)</f>
        <v>1.18</v>
      </c>
      <c r="O348" s="378">
        <f t="shared" si="25"/>
        <v>11.032999999999999</v>
      </c>
      <c r="P348" s="377">
        <f>IFERROR(O348*VLOOKUP(G348,MODULY_CBA!$B$3:$F$23,5,0),)</f>
        <v>330.99</v>
      </c>
      <c r="Q348" s="478" t="str">
        <f>IFERROR(VLOOKUP(G348,MODULY_CBA!$B$3:$I$23,6,0),"")</f>
        <v>Inkrement 2</v>
      </c>
    </row>
    <row r="349" spans="1:17">
      <c r="A349" s="401">
        <v>347</v>
      </c>
      <c r="B349" s="401" t="s">
        <v>475</v>
      </c>
      <c r="C349" s="530" t="s">
        <v>817</v>
      </c>
      <c r="D349" s="530" t="s">
        <v>827</v>
      </c>
      <c r="E349" s="530"/>
      <c r="F349" s="389" t="s">
        <v>8</v>
      </c>
      <c r="G349" s="383" t="s">
        <v>258</v>
      </c>
      <c r="H349" s="379">
        <v>1</v>
      </c>
      <c r="I349" s="379">
        <v>10</v>
      </c>
      <c r="J349" s="379">
        <f t="shared" si="23"/>
        <v>1</v>
      </c>
      <c r="K349" s="379">
        <f t="shared" si="24"/>
        <v>10</v>
      </c>
      <c r="L349" s="643">
        <f>IFERROR(IF(B349="funkcna poziadavka",VLOOKUP(G349,MODULY_CBA!$B$3:$E$23,4,0)*H349/SUMIFS($H$3:$H$199,$G$3:$G$199,G349,$B$3:$B$199,B349),),)</f>
        <v>0</v>
      </c>
      <c r="M349" s="379">
        <f>IFERROR(IF(B349="Funkcna poziadavka",VLOOKUP(G349,MODULY_CBA!$B$3:$E$23,3,0),),)</f>
        <v>0.93499999999999994</v>
      </c>
      <c r="N349" s="379">
        <f>IFERROR(IF(B349="funkcna poziadavka",VLOOKUP(G349,MODULY_CBA!$B$3:$E$23,2,0),),)</f>
        <v>1.18</v>
      </c>
      <c r="O349" s="378">
        <f t="shared" si="25"/>
        <v>11.032999999999999</v>
      </c>
      <c r="P349" s="377">
        <f>IFERROR(O349*VLOOKUP(G349,MODULY_CBA!$B$3:$F$23,5,0),)</f>
        <v>330.99</v>
      </c>
      <c r="Q349" s="478" t="str">
        <f>IFERROR(VLOOKUP(G349,MODULY_CBA!$B$3:$I$23,6,0),"")</f>
        <v>Inkrement 2</v>
      </c>
    </row>
    <row r="350" spans="1:17">
      <c r="A350" s="401">
        <v>348</v>
      </c>
      <c r="B350" s="401" t="s">
        <v>475</v>
      </c>
      <c r="C350" s="530" t="s">
        <v>817</v>
      </c>
      <c r="D350" s="530" t="s">
        <v>828</v>
      </c>
      <c r="E350" s="530"/>
      <c r="F350" s="389" t="s">
        <v>8</v>
      </c>
      <c r="G350" s="383" t="s">
        <v>258</v>
      </c>
      <c r="H350" s="379">
        <v>1</v>
      </c>
      <c r="I350" s="379">
        <v>10</v>
      </c>
      <c r="J350" s="379">
        <f t="shared" si="23"/>
        <v>1</v>
      </c>
      <c r="K350" s="379">
        <f t="shared" si="24"/>
        <v>10</v>
      </c>
      <c r="L350" s="643">
        <f>IFERROR(IF(B350="funkcna poziadavka",VLOOKUP(G350,MODULY_CBA!$B$3:$E$23,4,0)*H350/SUMIFS($H$3:$H$199,$G$3:$G$199,G350,$B$3:$B$199,B350),),)</f>
        <v>0</v>
      </c>
      <c r="M350" s="379">
        <f>IFERROR(IF(B350="Funkcna poziadavka",VLOOKUP(G350,MODULY_CBA!$B$3:$E$23,3,0),),)</f>
        <v>0.93499999999999994</v>
      </c>
      <c r="N350" s="379">
        <f>IFERROR(IF(B350="funkcna poziadavka",VLOOKUP(G350,MODULY_CBA!$B$3:$E$23,2,0),),)</f>
        <v>1.18</v>
      </c>
      <c r="O350" s="378">
        <f t="shared" si="25"/>
        <v>11.032999999999999</v>
      </c>
      <c r="P350" s="377">
        <f>IFERROR(O350*VLOOKUP(G350,MODULY_CBA!$B$3:$F$23,5,0),)</f>
        <v>330.99</v>
      </c>
      <c r="Q350" s="478" t="str">
        <f>IFERROR(VLOOKUP(G350,MODULY_CBA!$B$3:$I$23,6,0),"")</f>
        <v>Inkrement 2</v>
      </c>
    </row>
    <row r="351" spans="1:17">
      <c r="A351" s="401">
        <v>349</v>
      </c>
      <c r="B351" s="401" t="s">
        <v>475</v>
      </c>
      <c r="C351" s="530" t="s">
        <v>817</v>
      </c>
      <c r="D351" s="530" t="s">
        <v>829</v>
      </c>
      <c r="E351" s="530"/>
      <c r="F351" s="389" t="s">
        <v>8</v>
      </c>
      <c r="G351" s="383" t="s">
        <v>258</v>
      </c>
      <c r="H351" s="379">
        <v>1</v>
      </c>
      <c r="I351" s="379">
        <v>5</v>
      </c>
      <c r="J351" s="379">
        <f t="shared" si="23"/>
        <v>1</v>
      </c>
      <c r="K351" s="379">
        <f t="shared" si="24"/>
        <v>5</v>
      </c>
      <c r="L351" s="643">
        <f>IFERROR(IF(B351="funkcna poziadavka",VLOOKUP(G351,MODULY_CBA!$B$3:$E$23,4,0)*H351/SUMIFS($H$3:$H$199,$G$3:$G$199,G351,$B$3:$B$199,B351),),)</f>
        <v>0</v>
      </c>
      <c r="M351" s="379">
        <f>IFERROR(IF(B351="Funkcna poziadavka",VLOOKUP(G351,MODULY_CBA!$B$3:$E$23,3,0),),)</f>
        <v>0.93499999999999994</v>
      </c>
      <c r="N351" s="379">
        <f>IFERROR(IF(B351="funkcna poziadavka",VLOOKUP(G351,MODULY_CBA!$B$3:$E$23,2,0),),)</f>
        <v>1.18</v>
      </c>
      <c r="O351" s="378">
        <f t="shared" si="25"/>
        <v>5.5164999999999997</v>
      </c>
      <c r="P351" s="377">
        <f>IFERROR(O351*VLOOKUP(G351,MODULY_CBA!$B$3:$F$23,5,0),)</f>
        <v>165.495</v>
      </c>
      <c r="Q351" s="478" t="str">
        <f>IFERROR(VLOOKUP(G351,MODULY_CBA!$B$3:$I$23,6,0),"")</f>
        <v>Inkrement 2</v>
      </c>
    </row>
    <row r="352" spans="1:17">
      <c r="A352" s="401">
        <v>350</v>
      </c>
      <c r="B352" s="401" t="s">
        <v>475</v>
      </c>
      <c r="C352" s="530" t="s">
        <v>817</v>
      </c>
      <c r="D352" s="530" t="s">
        <v>830</v>
      </c>
      <c r="E352" s="530"/>
      <c r="F352" s="389" t="s">
        <v>8</v>
      </c>
      <c r="G352" s="383" t="s">
        <v>258</v>
      </c>
      <c r="H352" s="379">
        <v>1</v>
      </c>
      <c r="I352" s="379">
        <v>5</v>
      </c>
      <c r="J352" s="379">
        <f t="shared" si="23"/>
        <v>1</v>
      </c>
      <c r="K352" s="379">
        <f t="shared" si="24"/>
        <v>5</v>
      </c>
      <c r="L352" s="643">
        <f>IFERROR(IF(B352="funkcna poziadavka",VLOOKUP(G352,MODULY_CBA!$B$3:$E$23,4,0)*H352/SUMIFS($H$3:$H$199,$G$3:$G$199,G352,$B$3:$B$199,B352),),)</f>
        <v>0</v>
      </c>
      <c r="M352" s="379">
        <f>IFERROR(IF(B352="Funkcna poziadavka",VLOOKUP(G352,MODULY_CBA!$B$3:$E$23,3,0),),)</f>
        <v>0.93499999999999994</v>
      </c>
      <c r="N352" s="379">
        <f>IFERROR(IF(B352="funkcna poziadavka",VLOOKUP(G352,MODULY_CBA!$B$3:$E$23,2,0),),)</f>
        <v>1.18</v>
      </c>
      <c r="O352" s="378">
        <f t="shared" si="25"/>
        <v>5.5164999999999997</v>
      </c>
      <c r="P352" s="377">
        <f>IFERROR(O352*VLOOKUP(G352,MODULY_CBA!$B$3:$F$23,5,0),)</f>
        <v>165.495</v>
      </c>
      <c r="Q352" s="478" t="str">
        <f>IFERROR(VLOOKUP(G352,MODULY_CBA!$B$3:$I$23,6,0),"")</f>
        <v>Inkrement 2</v>
      </c>
    </row>
    <row r="353" spans="1:17">
      <c r="A353" s="401">
        <v>351</v>
      </c>
      <c r="B353" s="401" t="s">
        <v>475</v>
      </c>
      <c r="C353" s="530" t="s">
        <v>817</v>
      </c>
      <c r="D353" s="530" t="s">
        <v>831</v>
      </c>
      <c r="E353" s="530"/>
      <c r="F353" s="389" t="s">
        <v>8</v>
      </c>
      <c r="G353" s="383" t="s">
        <v>258</v>
      </c>
      <c r="H353" s="379">
        <v>1</v>
      </c>
      <c r="I353" s="379">
        <v>10</v>
      </c>
      <c r="J353" s="379">
        <f t="shared" si="23"/>
        <v>1</v>
      </c>
      <c r="K353" s="379">
        <f t="shared" si="24"/>
        <v>10</v>
      </c>
      <c r="L353" s="643">
        <f>IFERROR(IF(B353="funkcna poziadavka",VLOOKUP(G353,MODULY_CBA!$B$3:$E$23,4,0)*H353/SUMIFS($H$3:$H$199,$G$3:$G$199,G353,$B$3:$B$199,B353),),)</f>
        <v>0</v>
      </c>
      <c r="M353" s="379">
        <f>IFERROR(IF(B353="Funkcna poziadavka",VLOOKUP(G353,MODULY_CBA!$B$3:$E$23,3,0),),)</f>
        <v>0.93499999999999994</v>
      </c>
      <c r="N353" s="379">
        <f>IFERROR(IF(B353="funkcna poziadavka",VLOOKUP(G353,MODULY_CBA!$B$3:$E$23,2,0),),)</f>
        <v>1.18</v>
      </c>
      <c r="O353" s="378">
        <f t="shared" si="25"/>
        <v>11.032999999999999</v>
      </c>
      <c r="P353" s="377">
        <f>IFERROR(O353*VLOOKUP(G353,MODULY_CBA!$B$3:$F$23,5,0),)</f>
        <v>330.99</v>
      </c>
      <c r="Q353" s="478" t="str">
        <f>IFERROR(VLOOKUP(G353,MODULY_CBA!$B$3:$I$23,6,0),"")</f>
        <v>Inkrement 2</v>
      </c>
    </row>
    <row r="354" spans="1:17">
      <c r="A354" s="401">
        <v>352</v>
      </c>
      <c r="B354" s="401" t="s">
        <v>475</v>
      </c>
      <c r="C354" s="530" t="s">
        <v>817</v>
      </c>
      <c r="D354" s="530" t="s">
        <v>832</v>
      </c>
      <c r="E354" s="530"/>
      <c r="F354" s="389" t="s">
        <v>8</v>
      </c>
      <c r="G354" s="383" t="s">
        <v>258</v>
      </c>
      <c r="H354" s="379">
        <v>1</v>
      </c>
      <c r="I354" s="379">
        <v>5</v>
      </c>
      <c r="J354" s="379">
        <f t="shared" si="23"/>
        <v>1</v>
      </c>
      <c r="K354" s="379">
        <f t="shared" si="24"/>
        <v>5</v>
      </c>
      <c r="L354" s="643">
        <f>IFERROR(IF(B354="funkcna poziadavka",VLOOKUP(G354,MODULY_CBA!$B$3:$E$23,4,0)*H354/SUMIFS($H$3:$H$199,$G$3:$G$199,G354,$B$3:$B$199,B354),),)</f>
        <v>0</v>
      </c>
      <c r="M354" s="379">
        <f>IFERROR(IF(B354="Funkcna poziadavka",VLOOKUP(G354,MODULY_CBA!$B$3:$E$23,3,0),),)</f>
        <v>0.93499999999999994</v>
      </c>
      <c r="N354" s="379">
        <f>IFERROR(IF(B354="funkcna poziadavka",VLOOKUP(G354,MODULY_CBA!$B$3:$E$23,2,0),),)</f>
        <v>1.18</v>
      </c>
      <c r="O354" s="378">
        <f t="shared" si="25"/>
        <v>5.5164999999999997</v>
      </c>
      <c r="P354" s="377">
        <f>IFERROR(O354*VLOOKUP(G354,MODULY_CBA!$B$3:$F$23,5,0),)</f>
        <v>165.495</v>
      </c>
      <c r="Q354" s="478" t="str">
        <f>IFERROR(VLOOKUP(G354,MODULY_CBA!$B$3:$I$23,6,0),"")</f>
        <v>Inkrement 2</v>
      </c>
    </row>
    <row r="355" spans="1:17">
      <c r="A355" s="401">
        <v>353</v>
      </c>
      <c r="B355" s="401" t="s">
        <v>475</v>
      </c>
      <c r="C355" s="530" t="s">
        <v>817</v>
      </c>
      <c r="D355" s="530" t="s">
        <v>833</v>
      </c>
      <c r="E355" s="530"/>
      <c r="F355" s="389" t="s">
        <v>8</v>
      </c>
      <c r="G355" s="383" t="s">
        <v>258</v>
      </c>
      <c r="H355" s="379">
        <v>1</v>
      </c>
      <c r="I355" s="379">
        <v>5</v>
      </c>
      <c r="J355" s="379">
        <f t="shared" si="23"/>
        <v>1</v>
      </c>
      <c r="K355" s="379">
        <f t="shared" si="24"/>
        <v>5</v>
      </c>
      <c r="L355" s="643">
        <f>IFERROR(IF(B355="funkcna poziadavka",VLOOKUP(G355,MODULY_CBA!$B$3:$E$23,4,0)*H355/SUMIFS($H$3:$H$199,$G$3:$G$199,G355,$B$3:$B$199,B355),),)</f>
        <v>0</v>
      </c>
      <c r="M355" s="379">
        <f>IFERROR(IF(B355="Funkcna poziadavka",VLOOKUP(G355,MODULY_CBA!$B$3:$E$23,3,0),),)</f>
        <v>0.93499999999999994</v>
      </c>
      <c r="N355" s="379">
        <f>IFERROR(IF(B355="funkcna poziadavka",VLOOKUP(G355,MODULY_CBA!$B$3:$E$23,2,0),),)</f>
        <v>1.18</v>
      </c>
      <c r="O355" s="378">
        <f t="shared" si="25"/>
        <v>5.5164999999999997</v>
      </c>
      <c r="P355" s="377">
        <f>IFERROR(O355*VLOOKUP(G355,MODULY_CBA!$B$3:$F$23,5,0),)</f>
        <v>165.495</v>
      </c>
      <c r="Q355" s="478" t="str">
        <f>IFERROR(VLOOKUP(G355,MODULY_CBA!$B$3:$I$23,6,0),"")</f>
        <v>Inkrement 2</v>
      </c>
    </row>
    <row r="356" spans="1:17">
      <c r="A356" s="401">
        <v>354</v>
      </c>
      <c r="B356" s="401" t="s">
        <v>475</v>
      </c>
      <c r="C356" s="530" t="s">
        <v>817</v>
      </c>
      <c r="D356" s="530" t="s">
        <v>834</v>
      </c>
      <c r="E356" s="530"/>
      <c r="F356" s="389" t="s">
        <v>8</v>
      </c>
      <c r="G356" s="383" t="s">
        <v>258</v>
      </c>
      <c r="H356" s="379">
        <v>1</v>
      </c>
      <c r="I356" s="379">
        <v>5</v>
      </c>
      <c r="J356" s="379">
        <f t="shared" si="23"/>
        <v>1</v>
      </c>
      <c r="K356" s="379">
        <f t="shared" si="24"/>
        <v>5</v>
      </c>
      <c r="L356" s="643">
        <f>IFERROR(IF(B356="funkcna poziadavka",VLOOKUP(G356,MODULY_CBA!$B$3:$E$23,4,0)*H356/SUMIFS($H$3:$H$199,$G$3:$G$199,G356,$B$3:$B$199,B356),),)</f>
        <v>0</v>
      </c>
      <c r="M356" s="379">
        <f>IFERROR(IF(B356="Funkcna poziadavka",VLOOKUP(G356,MODULY_CBA!$B$3:$E$23,3,0),),)</f>
        <v>0.93499999999999994</v>
      </c>
      <c r="N356" s="379">
        <f>IFERROR(IF(B356="funkcna poziadavka",VLOOKUP(G356,MODULY_CBA!$B$3:$E$23,2,0),),)</f>
        <v>1.18</v>
      </c>
      <c r="O356" s="378">
        <f t="shared" si="25"/>
        <v>5.5164999999999997</v>
      </c>
      <c r="P356" s="377">
        <f>IFERROR(O356*VLOOKUP(G356,MODULY_CBA!$B$3:$F$23,5,0),)</f>
        <v>165.495</v>
      </c>
      <c r="Q356" s="478" t="str">
        <f>IFERROR(VLOOKUP(G356,MODULY_CBA!$B$3:$I$23,6,0),"")</f>
        <v>Inkrement 2</v>
      </c>
    </row>
    <row r="357" spans="1:17">
      <c r="A357" s="401">
        <v>355</v>
      </c>
      <c r="B357" s="401" t="s">
        <v>475</v>
      </c>
      <c r="C357" s="530" t="s">
        <v>817</v>
      </c>
      <c r="D357" s="530" t="s">
        <v>835</v>
      </c>
      <c r="E357" s="530"/>
      <c r="F357" s="389" t="s">
        <v>8</v>
      </c>
      <c r="G357" s="383" t="s">
        <v>258</v>
      </c>
      <c r="H357" s="379">
        <v>1</v>
      </c>
      <c r="I357" s="379">
        <v>5</v>
      </c>
      <c r="J357" s="379">
        <f t="shared" si="23"/>
        <v>1</v>
      </c>
      <c r="K357" s="379">
        <f t="shared" si="24"/>
        <v>5</v>
      </c>
      <c r="L357" s="643">
        <f>IFERROR(IF(B357="funkcna poziadavka",VLOOKUP(G357,MODULY_CBA!$B$3:$E$23,4,0)*H357/SUMIFS($H$3:$H$199,$G$3:$G$199,G357,$B$3:$B$199,B357),),)</f>
        <v>0</v>
      </c>
      <c r="M357" s="379">
        <f>IFERROR(IF(B357="Funkcna poziadavka",VLOOKUP(G357,MODULY_CBA!$B$3:$E$23,3,0),),)</f>
        <v>0.93499999999999994</v>
      </c>
      <c r="N357" s="379">
        <f>IFERROR(IF(B357="funkcna poziadavka",VLOOKUP(G357,MODULY_CBA!$B$3:$E$23,2,0),),)</f>
        <v>1.18</v>
      </c>
      <c r="O357" s="378">
        <f t="shared" si="25"/>
        <v>5.5164999999999997</v>
      </c>
      <c r="P357" s="377">
        <f>IFERROR(O357*VLOOKUP(G357,MODULY_CBA!$B$3:$F$23,5,0),)</f>
        <v>165.495</v>
      </c>
      <c r="Q357" s="478" t="str">
        <f>IFERROR(VLOOKUP(G357,MODULY_CBA!$B$3:$I$23,6,0),"")</f>
        <v>Inkrement 2</v>
      </c>
    </row>
    <row r="358" spans="1:17">
      <c r="A358" s="401">
        <v>356</v>
      </c>
      <c r="B358" s="401" t="s">
        <v>475</v>
      </c>
      <c r="C358" s="530" t="s">
        <v>817</v>
      </c>
      <c r="D358" s="530" t="s">
        <v>836</v>
      </c>
      <c r="E358" s="530"/>
      <c r="F358" s="389" t="s">
        <v>8</v>
      </c>
      <c r="G358" s="383" t="s">
        <v>258</v>
      </c>
      <c r="H358" s="379">
        <v>1</v>
      </c>
      <c r="I358" s="379">
        <v>5</v>
      </c>
      <c r="J358" s="379">
        <f t="shared" si="23"/>
        <v>1</v>
      </c>
      <c r="K358" s="379">
        <f t="shared" si="24"/>
        <v>5</v>
      </c>
      <c r="L358" s="643">
        <f>IFERROR(IF(B358="funkcna poziadavka",VLOOKUP(G358,MODULY_CBA!$B$3:$E$23,4,0)*H358/SUMIFS($H$3:$H$199,$G$3:$G$199,G358,$B$3:$B$199,B358),),)</f>
        <v>0</v>
      </c>
      <c r="M358" s="379">
        <f>IFERROR(IF(B358="Funkcna poziadavka",VLOOKUP(G358,MODULY_CBA!$B$3:$E$23,3,0),),)</f>
        <v>0.93499999999999994</v>
      </c>
      <c r="N358" s="379">
        <f>IFERROR(IF(B358="funkcna poziadavka",VLOOKUP(G358,MODULY_CBA!$B$3:$E$23,2,0),),)</f>
        <v>1.18</v>
      </c>
      <c r="O358" s="378">
        <f t="shared" si="25"/>
        <v>5.5164999999999997</v>
      </c>
      <c r="P358" s="377">
        <f>IFERROR(O358*VLOOKUP(G358,MODULY_CBA!$B$3:$F$23,5,0),)</f>
        <v>165.495</v>
      </c>
      <c r="Q358" s="478" t="str">
        <f>IFERROR(VLOOKUP(G358,MODULY_CBA!$B$3:$I$23,6,0),"")</f>
        <v>Inkrement 2</v>
      </c>
    </row>
    <row r="359" spans="1:17">
      <c r="A359" s="401">
        <v>357</v>
      </c>
      <c r="B359" s="401" t="s">
        <v>475</v>
      </c>
      <c r="C359" s="530" t="s">
        <v>817</v>
      </c>
      <c r="D359" s="530" t="s">
        <v>837</v>
      </c>
      <c r="E359" s="530"/>
      <c r="F359" s="389" t="s">
        <v>8</v>
      </c>
      <c r="G359" s="383" t="s">
        <v>258</v>
      </c>
      <c r="H359" s="379">
        <v>1</v>
      </c>
      <c r="I359" s="379">
        <v>5</v>
      </c>
      <c r="J359" s="379">
        <f t="shared" si="23"/>
        <v>1</v>
      </c>
      <c r="K359" s="379">
        <f t="shared" si="24"/>
        <v>5</v>
      </c>
      <c r="L359" s="643">
        <f>IFERROR(IF(B359="funkcna poziadavka",VLOOKUP(G359,MODULY_CBA!$B$3:$E$23,4,0)*H359/SUMIFS($H$3:$H$199,$G$3:$G$199,G359,$B$3:$B$199,B359),),)</f>
        <v>0</v>
      </c>
      <c r="M359" s="379">
        <f>IFERROR(IF(B359="Funkcna poziadavka",VLOOKUP(G359,MODULY_CBA!$B$3:$E$23,3,0),),)</f>
        <v>0.93499999999999994</v>
      </c>
      <c r="N359" s="379">
        <f>IFERROR(IF(B359="funkcna poziadavka",VLOOKUP(G359,MODULY_CBA!$B$3:$E$23,2,0),),)</f>
        <v>1.18</v>
      </c>
      <c r="O359" s="378">
        <f t="shared" si="25"/>
        <v>5.5164999999999997</v>
      </c>
      <c r="P359" s="377">
        <f>IFERROR(O359*VLOOKUP(G359,MODULY_CBA!$B$3:$F$23,5,0),)</f>
        <v>165.495</v>
      </c>
      <c r="Q359" s="478" t="str">
        <f>IFERROR(VLOOKUP(G359,MODULY_CBA!$B$3:$I$23,6,0),"")</f>
        <v>Inkrement 2</v>
      </c>
    </row>
    <row r="360" spans="1:17">
      <c r="A360" s="401">
        <v>358</v>
      </c>
      <c r="B360" s="401" t="s">
        <v>475</v>
      </c>
      <c r="C360" s="530" t="s">
        <v>817</v>
      </c>
      <c r="D360" s="530" t="s">
        <v>838</v>
      </c>
      <c r="E360" s="530"/>
      <c r="F360" s="389" t="s">
        <v>8</v>
      </c>
      <c r="G360" s="383" t="s">
        <v>258</v>
      </c>
      <c r="H360" s="379">
        <v>1</v>
      </c>
      <c r="I360" s="379">
        <v>5</v>
      </c>
      <c r="J360" s="379">
        <f t="shared" si="23"/>
        <v>1</v>
      </c>
      <c r="K360" s="379">
        <f t="shared" si="24"/>
        <v>5</v>
      </c>
      <c r="L360" s="643">
        <f>IFERROR(IF(B360="funkcna poziadavka",VLOOKUP(G360,MODULY_CBA!$B$3:$E$23,4,0)*H360/SUMIFS($H$3:$H$199,$G$3:$G$199,G360,$B$3:$B$199,B360),),)</f>
        <v>0</v>
      </c>
      <c r="M360" s="379">
        <f>IFERROR(IF(B360="Funkcna poziadavka",VLOOKUP(G360,MODULY_CBA!$B$3:$E$23,3,0),),)</f>
        <v>0.93499999999999994</v>
      </c>
      <c r="N360" s="379">
        <f>IFERROR(IF(B360="funkcna poziadavka",VLOOKUP(G360,MODULY_CBA!$B$3:$E$23,2,0),),)</f>
        <v>1.18</v>
      </c>
      <c r="O360" s="378">
        <f t="shared" si="25"/>
        <v>5.5164999999999997</v>
      </c>
      <c r="P360" s="377">
        <f>IFERROR(O360*VLOOKUP(G360,MODULY_CBA!$B$3:$F$23,5,0),)</f>
        <v>165.495</v>
      </c>
      <c r="Q360" s="478" t="str">
        <f>IFERROR(VLOOKUP(G360,MODULY_CBA!$B$3:$I$23,6,0),"")</f>
        <v>Inkrement 2</v>
      </c>
    </row>
    <row r="361" spans="1:17">
      <c r="A361" s="401">
        <v>359</v>
      </c>
      <c r="B361" s="401" t="s">
        <v>475</v>
      </c>
      <c r="C361" s="530" t="s">
        <v>817</v>
      </c>
      <c r="D361" s="530" t="s">
        <v>839</v>
      </c>
      <c r="E361" s="530"/>
      <c r="F361" s="389" t="s">
        <v>8</v>
      </c>
      <c r="G361" s="383" t="s">
        <v>258</v>
      </c>
      <c r="H361" s="379">
        <v>1</v>
      </c>
      <c r="I361" s="379">
        <v>5</v>
      </c>
      <c r="J361" s="379">
        <f t="shared" si="23"/>
        <v>1</v>
      </c>
      <c r="K361" s="379">
        <f t="shared" si="24"/>
        <v>5</v>
      </c>
      <c r="L361" s="643">
        <f>IFERROR(IF(B361="funkcna poziadavka",VLOOKUP(G361,MODULY_CBA!$B$3:$E$23,4,0)*H361/SUMIFS($H$3:$H$199,$G$3:$G$199,G361,$B$3:$B$199,B361),),)</f>
        <v>0</v>
      </c>
      <c r="M361" s="379">
        <f>IFERROR(IF(B361="Funkcna poziadavka",VLOOKUP(G361,MODULY_CBA!$B$3:$E$23,3,0),),)</f>
        <v>0.93499999999999994</v>
      </c>
      <c r="N361" s="379">
        <f>IFERROR(IF(B361="funkcna poziadavka",VLOOKUP(G361,MODULY_CBA!$B$3:$E$23,2,0),),)</f>
        <v>1.18</v>
      </c>
      <c r="O361" s="378">
        <f t="shared" si="25"/>
        <v>5.5164999999999997</v>
      </c>
      <c r="P361" s="377">
        <f>IFERROR(O361*VLOOKUP(G361,MODULY_CBA!$B$3:$F$23,5,0),)</f>
        <v>165.495</v>
      </c>
      <c r="Q361" s="478" t="str">
        <f>IFERROR(VLOOKUP(G361,MODULY_CBA!$B$3:$I$23,6,0),"")</f>
        <v>Inkrement 2</v>
      </c>
    </row>
    <row r="362" spans="1:17">
      <c r="A362" s="401">
        <v>360</v>
      </c>
      <c r="B362" s="401" t="s">
        <v>475</v>
      </c>
      <c r="C362" s="530" t="s">
        <v>817</v>
      </c>
      <c r="D362" s="530" t="s">
        <v>840</v>
      </c>
      <c r="E362" s="530"/>
      <c r="F362" s="389" t="s">
        <v>8</v>
      </c>
      <c r="G362" s="383" t="s">
        <v>258</v>
      </c>
      <c r="H362" s="379">
        <v>1</v>
      </c>
      <c r="I362" s="379">
        <v>5</v>
      </c>
      <c r="J362" s="379">
        <f t="shared" si="23"/>
        <v>1</v>
      </c>
      <c r="K362" s="379">
        <f t="shared" si="24"/>
        <v>5</v>
      </c>
      <c r="L362" s="643">
        <f>IFERROR(IF(B362="funkcna poziadavka",VLOOKUP(G362,MODULY_CBA!$B$3:$E$23,4,0)*H362/SUMIFS($H$3:$H$199,$G$3:$G$199,G362,$B$3:$B$199,B362),),)</f>
        <v>0</v>
      </c>
      <c r="M362" s="379">
        <f>IFERROR(IF(B362="Funkcna poziadavka",VLOOKUP(G362,MODULY_CBA!$B$3:$E$23,3,0),),)</f>
        <v>0.93499999999999994</v>
      </c>
      <c r="N362" s="379">
        <f>IFERROR(IF(B362="funkcna poziadavka",VLOOKUP(G362,MODULY_CBA!$B$3:$E$23,2,0),),)</f>
        <v>1.18</v>
      </c>
      <c r="O362" s="378">
        <f t="shared" si="25"/>
        <v>5.5164999999999997</v>
      </c>
      <c r="P362" s="377">
        <f>IFERROR(O362*VLOOKUP(G362,MODULY_CBA!$B$3:$F$23,5,0),)</f>
        <v>165.495</v>
      </c>
      <c r="Q362" s="478" t="str">
        <f>IFERROR(VLOOKUP(G362,MODULY_CBA!$B$3:$I$23,6,0),"")</f>
        <v>Inkrement 2</v>
      </c>
    </row>
    <row r="363" spans="1:17">
      <c r="A363" s="401">
        <v>361</v>
      </c>
      <c r="B363" s="401" t="s">
        <v>475</v>
      </c>
      <c r="C363" s="530" t="s">
        <v>817</v>
      </c>
      <c r="D363" s="530" t="s">
        <v>841</v>
      </c>
      <c r="E363" s="530"/>
      <c r="F363" s="389" t="s">
        <v>8</v>
      </c>
      <c r="G363" s="383" t="s">
        <v>258</v>
      </c>
      <c r="H363" s="379">
        <v>1</v>
      </c>
      <c r="I363" s="379">
        <v>5</v>
      </c>
      <c r="J363" s="379">
        <f t="shared" si="23"/>
        <v>1</v>
      </c>
      <c r="K363" s="379">
        <f t="shared" si="24"/>
        <v>5</v>
      </c>
      <c r="L363" s="643">
        <f>IFERROR(IF(B363="funkcna poziadavka",VLOOKUP(G363,MODULY_CBA!$B$3:$E$23,4,0)*H363/SUMIFS($H$3:$H$199,$G$3:$G$199,G363,$B$3:$B$199,B363),),)</f>
        <v>0</v>
      </c>
      <c r="M363" s="379">
        <f>IFERROR(IF(B363="Funkcna poziadavka",VLOOKUP(G363,MODULY_CBA!$B$3:$E$23,3,0),),)</f>
        <v>0.93499999999999994</v>
      </c>
      <c r="N363" s="379">
        <f>IFERROR(IF(B363="funkcna poziadavka",VLOOKUP(G363,MODULY_CBA!$B$3:$E$23,2,0),),)</f>
        <v>1.18</v>
      </c>
      <c r="O363" s="378">
        <f t="shared" si="25"/>
        <v>5.5164999999999997</v>
      </c>
      <c r="P363" s="377">
        <f>IFERROR(O363*VLOOKUP(G363,MODULY_CBA!$B$3:$F$23,5,0),)</f>
        <v>165.495</v>
      </c>
      <c r="Q363" s="478" t="str">
        <f>IFERROR(VLOOKUP(G363,MODULY_CBA!$B$3:$I$23,6,0),"")</f>
        <v>Inkrement 2</v>
      </c>
    </row>
    <row r="364" spans="1:17">
      <c r="A364" s="401">
        <v>362</v>
      </c>
      <c r="B364" s="401" t="s">
        <v>475</v>
      </c>
      <c r="C364" s="530" t="s">
        <v>817</v>
      </c>
      <c r="D364" s="530" t="s">
        <v>842</v>
      </c>
      <c r="E364" s="530"/>
      <c r="F364" s="389" t="s">
        <v>8</v>
      </c>
      <c r="G364" s="383" t="s">
        <v>258</v>
      </c>
      <c r="H364" s="379">
        <v>1</v>
      </c>
      <c r="I364" s="379">
        <v>5</v>
      </c>
      <c r="J364" s="379">
        <f t="shared" si="23"/>
        <v>1</v>
      </c>
      <c r="K364" s="379">
        <f t="shared" si="24"/>
        <v>5</v>
      </c>
      <c r="L364" s="643">
        <f>IFERROR(IF(B364="funkcna poziadavka",VLOOKUP(G364,MODULY_CBA!$B$3:$E$23,4,0)*H364/SUMIFS($H$3:$H$199,$G$3:$G$199,G364,$B$3:$B$199,B364),),)</f>
        <v>0</v>
      </c>
      <c r="M364" s="379">
        <f>IFERROR(IF(B364="Funkcna poziadavka",VLOOKUP(G364,MODULY_CBA!$B$3:$E$23,3,0),),)</f>
        <v>0.93499999999999994</v>
      </c>
      <c r="N364" s="379">
        <f>IFERROR(IF(B364="funkcna poziadavka",VLOOKUP(G364,MODULY_CBA!$B$3:$E$23,2,0),),)</f>
        <v>1.18</v>
      </c>
      <c r="O364" s="378">
        <f t="shared" si="25"/>
        <v>5.5164999999999997</v>
      </c>
      <c r="P364" s="377">
        <f>IFERROR(O364*VLOOKUP(G364,MODULY_CBA!$B$3:$F$23,5,0),)</f>
        <v>165.495</v>
      </c>
      <c r="Q364" s="478" t="str">
        <f>IFERROR(VLOOKUP(G364,MODULY_CBA!$B$3:$I$23,6,0),"")</f>
        <v>Inkrement 2</v>
      </c>
    </row>
    <row r="365" spans="1:17">
      <c r="A365" s="401">
        <v>363</v>
      </c>
      <c r="B365" s="401" t="s">
        <v>475</v>
      </c>
      <c r="C365" s="530" t="s">
        <v>817</v>
      </c>
      <c r="D365" s="530" t="s">
        <v>843</v>
      </c>
      <c r="E365" s="530"/>
      <c r="F365" s="389" t="s">
        <v>8</v>
      </c>
      <c r="G365" s="383" t="s">
        <v>258</v>
      </c>
      <c r="H365" s="379">
        <v>1</v>
      </c>
      <c r="I365" s="379">
        <v>5</v>
      </c>
      <c r="J365" s="379">
        <f t="shared" si="23"/>
        <v>1</v>
      </c>
      <c r="K365" s="379">
        <f t="shared" si="24"/>
        <v>5</v>
      </c>
      <c r="L365" s="643">
        <f>IFERROR(IF(B365="funkcna poziadavka",VLOOKUP(G365,MODULY_CBA!$B$3:$E$23,4,0)*H365/SUMIFS($H$3:$H$199,$G$3:$G$199,G365,$B$3:$B$199,B365),),)</f>
        <v>0</v>
      </c>
      <c r="M365" s="379">
        <f>IFERROR(IF(B365="Funkcna poziadavka",VLOOKUP(G365,MODULY_CBA!$B$3:$E$23,3,0),),)</f>
        <v>0.93499999999999994</v>
      </c>
      <c r="N365" s="379">
        <f>IFERROR(IF(B365="funkcna poziadavka",VLOOKUP(G365,MODULY_CBA!$B$3:$E$23,2,0),),)</f>
        <v>1.18</v>
      </c>
      <c r="O365" s="378">
        <f t="shared" si="25"/>
        <v>5.5164999999999997</v>
      </c>
      <c r="P365" s="377">
        <f>IFERROR(O365*VLOOKUP(G365,MODULY_CBA!$B$3:$F$23,5,0),)</f>
        <v>165.495</v>
      </c>
      <c r="Q365" s="478" t="str">
        <f>IFERROR(VLOOKUP(G365,MODULY_CBA!$B$3:$I$23,6,0),"")</f>
        <v>Inkrement 2</v>
      </c>
    </row>
    <row r="366" spans="1:17">
      <c r="A366" s="401">
        <v>364</v>
      </c>
      <c r="B366" s="401" t="s">
        <v>475</v>
      </c>
      <c r="C366" s="530" t="s">
        <v>817</v>
      </c>
      <c r="D366" s="530" t="s">
        <v>844</v>
      </c>
      <c r="E366" s="530"/>
      <c r="F366" s="389" t="s">
        <v>8</v>
      </c>
      <c r="G366" s="383" t="s">
        <v>258</v>
      </c>
      <c r="H366" s="379">
        <v>1</v>
      </c>
      <c r="I366" s="379">
        <v>5</v>
      </c>
      <c r="J366" s="379">
        <f t="shared" si="23"/>
        <v>1</v>
      </c>
      <c r="K366" s="379">
        <f t="shared" si="24"/>
        <v>5</v>
      </c>
      <c r="L366" s="643">
        <f>IFERROR(IF(B366="funkcna poziadavka",VLOOKUP(G366,MODULY_CBA!$B$3:$E$23,4,0)*H366/SUMIFS($H$3:$H$199,$G$3:$G$199,G366,$B$3:$B$199,B366),),)</f>
        <v>0</v>
      </c>
      <c r="M366" s="379">
        <f>IFERROR(IF(B366="Funkcna poziadavka",VLOOKUP(G366,MODULY_CBA!$B$3:$E$23,3,0),),)</f>
        <v>0.93499999999999994</v>
      </c>
      <c r="N366" s="379">
        <f>IFERROR(IF(B366="funkcna poziadavka",VLOOKUP(G366,MODULY_CBA!$B$3:$E$23,2,0),),)</f>
        <v>1.18</v>
      </c>
      <c r="O366" s="378">
        <f t="shared" si="25"/>
        <v>5.5164999999999997</v>
      </c>
      <c r="P366" s="377">
        <f>IFERROR(O366*VLOOKUP(G366,MODULY_CBA!$B$3:$F$23,5,0),)</f>
        <v>165.495</v>
      </c>
      <c r="Q366" s="478" t="str">
        <f>IFERROR(VLOOKUP(G366,MODULY_CBA!$B$3:$I$23,6,0),"")</f>
        <v>Inkrement 2</v>
      </c>
    </row>
    <row r="367" spans="1:17">
      <c r="A367" s="401">
        <v>365</v>
      </c>
      <c r="B367" s="401" t="s">
        <v>475</v>
      </c>
      <c r="C367" s="530" t="s">
        <v>817</v>
      </c>
      <c r="D367" s="530" t="s">
        <v>845</v>
      </c>
      <c r="E367" s="530"/>
      <c r="F367" s="389" t="s">
        <v>8</v>
      </c>
      <c r="G367" s="383" t="s">
        <v>258</v>
      </c>
      <c r="H367" s="379">
        <v>1</v>
      </c>
      <c r="I367" s="379">
        <v>5</v>
      </c>
      <c r="J367" s="379">
        <f t="shared" si="23"/>
        <v>1</v>
      </c>
      <c r="K367" s="379">
        <f t="shared" si="24"/>
        <v>5</v>
      </c>
      <c r="L367" s="643">
        <f>IFERROR(IF(B367="funkcna poziadavka",VLOOKUP(G367,MODULY_CBA!$B$3:$E$23,4,0)*H367/SUMIFS($H$3:$H$199,$G$3:$G$199,G367,$B$3:$B$199,B367),),)</f>
        <v>0</v>
      </c>
      <c r="M367" s="379">
        <f>IFERROR(IF(B367="Funkcna poziadavka",VLOOKUP(G367,MODULY_CBA!$B$3:$E$23,3,0),),)</f>
        <v>0.93499999999999994</v>
      </c>
      <c r="N367" s="379">
        <f>IFERROR(IF(B367="funkcna poziadavka",VLOOKUP(G367,MODULY_CBA!$B$3:$E$23,2,0),),)</f>
        <v>1.18</v>
      </c>
      <c r="O367" s="378">
        <f t="shared" si="25"/>
        <v>5.5164999999999997</v>
      </c>
      <c r="P367" s="377">
        <f>IFERROR(O367*VLOOKUP(G367,MODULY_CBA!$B$3:$F$23,5,0),)</f>
        <v>165.495</v>
      </c>
      <c r="Q367" s="478" t="str">
        <f>IFERROR(VLOOKUP(G367,MODULY_CBA!$B$3:$I$23,6,0),"")</f>
        <v>Inkrement 2</v>
      </c>
    </row>
    <row r="368" spans="1:17">
      <c r="A368" s="401">
        <v>366</v>
      </c>
      <c r="B368" s="401" t="s">
        <v>475</v>
      </c>
      <c r="C368" s="530" t="s">
        <v>817</v>
      </c>
      <c r="D368" s="530" t="s">
        <v>846</v>
      </c>
      <c r="E368" s="530"/>
      <c r="F368" s="389" t="s">
        <v>8</v>
      </c>
      <c r="G368" s="383" t="s">
        <v>258</v>
      </c>
      <c r="H368" s="379">
        <v>1</v>
      </c>
      <c r="I368" s="379">
        <v>5</v>
      </c>
      <c r="J368" s="379">
        <f t="shared" si="23"/>
        <v>1</v>
      </c>
      <c r="K368" s="379">
        <f t="shared" si="24"/>
        <v>5</v>
      </c>
      <c r="L368" s="643">
        <f>IFERROR(IF(B368="funkcna poziadavka",VLOOKUP(G368,MODULY_CBA!$B$3:$E$23,4,0)*H368/SUMIFS($H$3:$H$199,$G$3:$G$199,G368,$B$3:$B$199,B368),),)</f>
        <v>0</v>
      </c>
      <c r="M368" s="379">
        <f>IFERROR(IF(B368="Funkcna poziadavka",VLOOKUP(G368,MODULY_CBA!$B$3:$E$23,3,0),),)</f>
        <v>0.93499999999999994</v>
      </c>
      <c r="N368" s="379">
        <f>IFERROR(IF(B368="funkcna poziadavka",VLOOKUP(G368,MODULY_CBA!$B$3:$E$23,2,0),),)</f>
        <v>1.18</v>
      </c>
      <c r="O368" s="378">
        <f t="shared" si="25"/>
        <v>5.5164999999999997</v>
      </c>
      <c r="P368" s="377">
        <f>IFERROR(O368*VLOOKUP(G368,MODULY_CBA!$B$3:$F$23,5,0),)</f>
        <v>165.495</v>
      </c>
      <c r="Q368" s="478" t="str">
        <f>IFERROR(VLOOKUP(G368,MODULY_CBA!$B$3:$I$23,6,0),"")</f>
        <v>Inkrement 2</v>
      </c>
    </row>
    <row r="369" spans="1:17">
      <c r="A369" s="401">
        <v>367</v>
      </c>
      <c r="B369" s="401" t="s">
        <v>475</v>
      </c>
      <c r="C369" s="530" t="s">
        <v>817</v>
      </c>
      <c r="D369" s="530" t="s">
        <v>847</v>
      </c>
      <c r="E369" s="530"/>
      <c r="F369" s="389" t="s">
        <v>8</v>
      </c>
      <c r="G369" s="383" t="s">
        <v>258</v>
      </c>
      <c r="H369" s="379">
        <v>1</v>
      </c>
      <c r="I369" s="379">
        <v>5</v>
      </c>
      <c r="J369" s="379">
        <f t="shared" si="23"/>
        <v>1</v>
      </c>
      <c r="K369" s="379">
        <f t="shared" si="24"/>
        <v>5</v>
      </c>
      <c r="L369" s="643">
        <f>IFERROR(IF(B369="funkcna poziadavka",VLOOKUP(G369,MODULY_CBA!$B$3:$E$23,4,0)*H369/SUMIFS($H$3:$H$199,$G$3:$G$199,G369,$B$3:$B$199,B369),),)</f>
        <v>0</v>
      </c>
      <c r="M369" s="379">
        <f>IFERROR(IF(B369="Funkcna poziadavka",VLOOKUP(G369,MODULY_CBA!$B$3:$E$23,3,0),),)</f>
        <v>0.93499999999999994</v>
      </c>
      <c r="N369" s="379">
        <f>IFERROR(IF(B369="funkcna poziadavka",VLOOKUP(G369,MODULY_CBA!$B$3:$E$23,2,0),),)</f>
        <v>1.18</v>
      </c>
      <c r="O369" s="378">
        <f t="shared" si="25"/>
        <v>5.5164999999999997</v>
      </c>
      <c r="P369" s="377">
        <f>IFERROR(O369*VLOOKUP(G369,MODULY_CBA!$B$3:$F$23,5,0),)</f>
        <v>165.495</v>
      </c>
      <c r="Q369" s="478" t="str">
        <f>IFERROR(VLOOKUP(G369,MODULY_CBA!$B$3:$I$23,6,0),"")</f>
        <v>Inkrement 2</v>
      </c>
    </row>
    <row r="370" spans="1:17" ht="25.5">
      <c r="A370" s="401">
        <v>368</v>
      </c>
      <c r="B370" s="401" t="s">
        <v>475</v>
      </c>
      <c r="C370" s="530" t="s">
        <v>817</v>
      </c>
      <c r="D370" s="530" t="s">
        <v>848</v>
      </c>
      <c r="E370" s="530"/>
      <c r="F370" s="389" t="s">
        <v>8</v>
      </c>
      <c r="G370" s="389" t="s">
        <v>258</v>
      </c>
      <c r="H370" s="379">
        <v>1</v>
      </c>
      <c r="I370" s="379">
        <v>5</v>
      </c>
      <c r="J370" s="379">
        <f t="shared" si="23"/>
        <v>1</v>
      </c>
      <c r="K370" s="379">
        <f t="shared" si="24"/>
        <v>5</v>
      </c>
      <c r="L370" s="643">
        <f>IFERROR(IF(B370="funkcna poziadavka",VLOOKUP(G370,MODULY_CBA!$B$3:$E$23,4,0)*H370/SUMIFS($H$3:$H$199,$G$3:$G$199,G370,$B$3:$B$199,B370),),)</f>
        <v>0</v>
      </c>
      <c r="M370" s="379">
        <f>IFERROR(IF(B370="Funkcna poziadavka",VLOOKUP(G370,MODULY_CBA!$B$3:$E$23,3,0),),)</f>
        <v>0.93499999999999994</v>
      </c>
      <c r="N370" s="379">
        <f>IFERROR(IF(B370="funkcna poziadavka",VLOOKUP(G370,MODULY_CBA!$B$3:$E$23,2,0),),)</f>
        <v>1.18</v>
      </c>
      <c r="O370" s="378">
        <f t="shared" si="25"/>
        <v>5.5164999999999997</v>
      </c>
      <c r="P370" s="377">
        <f>IFERROR(O370*VLOOKUP(G370,MODULY_CBA!$B$3:$F$23,5,0),)</f>
        <v>165.495</v>
      </c>
      <c r="Q370" s="478" t="str">
        <f>IFERROR(VLOOKUP(G370,MODULY_CBA!$B$3:$I$23,6,0),"")</f>
        <v>Inkrement 2</v>
      </c>
    </row>
    <row r="371" spans="1:17" ht="25.5">
      <c r="A371" s="401">
        <v>369</v>
      </c>
      <c r="B371" s="401" t="s">
        <v>475</v>
      </c>
      <c r="C371" s="530" t="s">
        <v>817</v>
      </c>
      <c r="D371" s="530" t="s">
        <v>849</v>
      </c>
      <c r="E371" s="530"/>
      <c r="F371" s="389" t="s">
        <v>8</v>
      </c>
      <c r="G371" s="389" t="s">
        <v>258</v>
      </c>
      <c r="H371" s="379">
        <v>1</v>
      </c>
      <c r="I371" s="379">
        <v>5</v>
      </c>
      <c r="J371" s="379">
        <f t="shared" si="23"/>
        <v>1</v>
      </c>
      <c r="K371" s="379">
        <f t="shared" si="24"/>
        <v>5</v>
      </c>
      <c r="L371" s="643">
        <f>IFERROR(IF(B371="funkcna poziadavka",VLOOKUP(G371,MODULY_CBA!$B$3:$E$23,4,0)*H371/SUMIFS($H$3:$H$199,$G$3:$G$199,G371,$B$3:$B$199,B371),),)</f>
        <v>0</v>
      </c>
      <c r="M371" s="379">
        <f>IFERROR(IF(B371="Funkcna poziadavka",VLOOKUP(G371,MODULY_CBA!$B$3:$E$23,3,0),),)</f>
        <v>0.93499999999999994</v>
      </c>
      <c r="N371" s="379">
        <f>IFERROR(IF(B371="funkcna poziadavka",VLOOKUP(G371,MODULY_CBA!$B$3:$E$23,2,0),),)</f>
        <v>1.18</v>
      </c>
      <c r="O371" s="378">
        <f t="shared" si="25"/>
        <v>5.5164999999999997</v>
      </c>
      <c r="P371" s="377">
        <f>IFERROR(O371*VLOOKUP(G371,MODULY_CBA!$B$3:$F$23,5,0),)</f>
        <v>165.495</v>
      </c>
      <c r="Q371" s="478" t="str">
        <f>IFERROR(VLOOKUP(G371,MODULY_CBA!$B$3:$I$23,6,0),"")</f>
        <v>Inkrement 2</v>
      </c>
    </row>
    <row r="372" spans="1:17" ht="25.5">
      <c r="A372" s="401">
        <v>370</v>
      </c>
      <c r="B372" s="401" t="s">
        <v>475</v>
      </c>
      <c r="C372" s="530" t="s">
        <v>817</v>
      </c>
      <c r="D372" s="530" t="s">
        <v>850</v>
      </c>
      <c r="E372" s="530"/>
      <c r="F372" s="389" t="s">
        <v>8</v>
      </c>
      <c r="G372" s="389" t="s">
        <v>258</v>
      </c>
      <c r="H372" s="379">
        <v>1</v>
      </c>
      <c r="I372" s="379">
        <v>5</v>
      </c>
      <c r="J372" s="379">
        <f t="shared" si="23"/>
        <v>1</v>
      </c>
      <c r="K372" s="379">
        <f t="shared" si="24"/>
        <v>5</v>
      </c>
      <c r="L372" s="643">
        <f>IFERROR(IF(B372="funkcna poziadavka",VLOOKUP(G372,MODULY_CBA!$B$3:$E$23,4,0)*H372/SUMIFS($H$3:$H$199,$G$3:$G$199,G372,$B$3:$B$199,B372),),)</f>
        <v>0</v>
      </c>
      <c r="M372" s="379">
        <f>IFERROR(IF(B372="Funkcna poziadavka",VLOOKUP(G372,MODULY_CBA!$B$3:$E$23,3,0),),)</f>
        <v>0.93499999999999994</v>
      </c>
      <c r="N372" s="379">
        <f>IFERROR(IF(B372="funkcna poziadavka",VLOOKUP(G372,MODULY_CBA!$B$3:$E$23,2,0),),)</f>
        <v>1.18</v>
      </c>
      <c r="O372" s="378">
        <f t="shared" si="25"/>
        <v>5.5164999999999997</v>
      </c>
      <c r="P372" s="377">
        <f>IFERROR(O372*VLOOKUP(G372,MODULY_CBA!$B$3:$F$23,5,0),)</f>
        <v>165.495</v>
      </c>
      <c r="Q372" s="478" t="str">
        <f>IFERROR(VLOOKUP(G372,MODULY_CBA!$B$3:$I$23,6,0),"")</f>
        <v>Inkrement 2</v>
      </c>
    </row>
    <row r="373" spans="1:17" ht="25.5">
      <c r="A373" s="401">
        <v>371</v>
      </c>
      <c r="B373" s="401" t="s">
        <v>475</v>
      </c>
      <c r="C373" s="530" t="s">
        <v>817</v>
      </c>
      <c r="D373" s="530" t="s">
        <v>851</v>
      </c>
      <c r="E373" s="530"/>
      <c r="F373" s="389" t="s">
        <v>8</v>
      </c>
      <c r="G373" s="389" t="s">
        <v>258</v>
      </c>
      <c r="H373" s="379">
        <v>1</v>
      </c>
      <c r="I373" s="379">
        <v>10</v>
      </c>
      <c r="J373" s="379">
        <f t="shared" si="23"/>
        <v>1</v>
      </c>
      <c r="K373" s="379">
        <f t="shared" si="24"/>
        <v>10</v>
      </c>
      <c r="L373" s="643">
        <f>IFERROR(IF(B373="funkcna poziadavka",VLOOKUP(G373,MODULY_CBA!$B$3:$E$23,4,0)*H373/SUMIFS($H$3:$H$199,$G$3:$G$199,G373,$B$3:$B$199,B373),),)</f>
        <v>0</v>
      </c>
      <c r="M373" s="379">
        <f>IFERROR(IF(B373="Funkcna poziadavka",VLOOKUP(G373,MODULY_CBA!$B$3:$E$23,3,0),),)</f>
        <v>0.93499999999999994</v>
      </c>
      <c r="N373" s="379">
        <f>IFERROR(IF(B373="funkcna poziadavka",VLOOKUP(G373,MODULY_CBA!$B$3:$E$23,2,0),),)</f>
        <v>1.18</v>
      </c>
      <c r="O373" s="378">
        <f t="shared" si="25"/>
        <v>11.032999999999999</v>
      </c>
      <c r="P373" s="377">
        <f>IFERROR(O373*VLOOKUP(G373,MODULY_CBA!$B$3:$F$23,5,0),)</f>
        <v>330.99</v>
      </c>
      <c r="Q373" s="478" t="str">
        <f>IFERROR(VLOOKUP(G373,MODULY_CBA!$B$3:$I$23,6,0),"")</f>
        <v>Inkrement 2</v>
      </c>
    </row>
    <row r="374" spans="1:17" ht="25.5">
      <c r="A374" s="401">
        <v>372</v>
      </c>
      <c r="B374" s="401" t="s">
        <v>475</v>
      </c>
      <c r="C374" s="530" t="s">
        <v>817</v>
      </c>
      <c r="D374" s="530" t="s">
        <v>852</v>
      </c>
      <c r="E374" s="530"/>
      <c r="F374" s="389" t="s">
        <v>8</v>
      </c>
      <c r="G374" s="389" t="s">
        <v>258</v>
      </c>
      <c r="H374" s="379">
        <v>1</v>
      </c>
      <c r="I374" s="379">
        <v>10</v>
      </c>
      <c r="J374" s="379">
        <f t="shared" si="23"/>
        <v>1</v>
      </c>
      <c r="K374" s="379">
        <f t="shared" si="24"/>
        <v>10</v>
      </c>
      <c r="L374" s="643">
        <f>IFERROR(IF(B374="funkcna poziadavka",VLOOKUP(G374,MODULY_CBA!$B$3:$E$23,4,0)*H374/SUMIFS($H$3:$H$199,$G$3:$G$199,G374,$B$3:$B$199,B374),),)</f>
        <v>0</v>
      </c>
      <c r="M374" s="379">
        <f>IFERROR(IF(B374="Funkcna poziadavka",VLOOKUP(G374,MODULY_CBA!$B$3:$E$23,3,0),),)</f>
        <v>0.93499999999999994</v>
      </c>
      <c r="N374" s="379">
        <f>IFERROR(IF(B374="funkcna poziadavka",VLOOKUP(G374,MODULY_CBA!$B$3:$E$23,2,0),),)</f>
        <v>1.18</v>
      </c>
      <c r="O374" s="378">
        <f t="shared" si="25"/>
        <v>11.032999999999999</v>
      </c>
      <c r="P374" s="377">
        <f>IFERROR(O374*VLOOKUP(G374,MODULY_CBA!$B$3:$F$23,5,0),)</f>
        <v>330.99</v>
      </c>
      <c r="Q374" s="478" t="str">
        <f>IFERROR(VLOOKUP(G374,MODULY_CBA!$B$3:$I$23,6,0),"")</f>
        <v>Inkrement 2</v>
      </c>
    </row>
    <row r="375" spans="1:17" ht="25.5">
      <c r="A375" s="401">
        <v>373</v>
      </c>
      <c r="B375" s="401" t="s">
        <v>475</v>
      </c>
      <c r="C375" s="530" t="s">
        <v>817</v>
      </c>
      <c r="D375" s="530" t="s">
        <v>853</v>
      </c>
      <c r="E375" s="530"/>
      <c r="F375" s="389" t="s">
        <v>8</v>
      </c>
      <c r="G375" s="389" t="s">
        <v>258</v>
      </c>
      <c r="H375" s="379">
        <v>1</v>
      </c>
      <c r="I375" s="379">
        <v>10</v>
      </c>
      <c r="J375" s="379">
        <f t="shared" si="23"/>
        <v>1</v>
      </c>
      <c r="K375" s="379">
        <f t="shared" si="24"/>
        <v>10</v>
      </c>
      <c r="L375" s="643">
        <f>IFERROR(IF(B375="funkcna poziadavka",VLOOKUP(G375,MODULY_CBA!$B$3:$E$23,4,0)*H375/SUMIFS($H$3:$H$199,$G$3:$G$199,G375,$B$3:$B$199,B375),),)</f>
        <v>0</v>
      </c>
      <c r="M375" s="379">
        <f>IFERROR(IF(B375="Funkcna poziadavka",VLOOKUP(G375,MODULY_CBA!$B$3:$E$23,3,0),),)</f>
        <v>0.93499999999999994</v>
      </c>
      <c r="N375" s="379">
        <f>IFERROR(IF(B375="funkcna poziadavka",VLOOKUP(G375,MODULY_CBA!$B$3:$E$23,2,0),),)</f>
        <v>1.18</v>
      </c>
      <c r="O375" s="378">
        <f t="shared" si="25"/>
        <v>11.032999999999999</v>
      </c>
      <c r="P375" s="377">
        <f>IFERROR(O375*VLOOKUP(G375,MODULY_CBA!$B$3:$F$23,5,0),)</f>
        <v>330.99</v>
      </c>
      <c r="Q375" s="478" t="str">
        <f>IFERROR(VLOOKUP(G375,MODULY_CBA!$B$3:$I$23,6,0),"")</f>
        <v>Inkrement 2</v>
      </c>
    </row>
    <row r="376" spans="1:17" ht="25.5">
      <c r="A376" s="401">
        <v>374</v>
      </c>
      <c r="B376" s="401" t="s">
        <v>475</v>
      </c>
      <c r="C376" s="530" t="s">
        <v>817</v>
      </c>
      <c r="D376" s="530" t="s">
        <v>854</v>
      </c>
      <c r="E376" s="530"/>
      <c r="F376" s="389" t="s">
        <v>8</v>
      </c>
      <c r="G376" s="389" t="s">
        <v>258</v>
      </c>
      <c r="H376" s="379">
        <v>1</v>
      </c>
      <c r="I376" s="379">
        <v>10</v>
      </c>
      <c r="J376" s="379">
        <f t="shared" si="23"/>
        <v>1</v>
      </c>
      <c r="K376" s="379">
        <f t="shared" si="24"/>
        <v>10</v>
      </c>
      <c r="L376" s="643">
        <f>IFERROR(IF(B376="funkcna poziadavka",VLOOKUP(G376,MODULY_CBA!$B$3:$E$23,4,0)*H376/SUMIFS($H$3:$H$199,$G$3:$G$199,G376,$B$3:$B$199,B376),),)</f>
        <v>0</v>
      </c>
      <c r="M376" s="379">
        <f>IFERROR(IF(B376="Funkcna poziadavka",VLOOKUP(G376,MODULY_CBA!$B$3:$E$23,3,0),),)</f>
        <v>0.93499999999999994</v>
      </c>
      <c r="N376" s="379">
        <f>IFERROR(IF(B376="funkcna poziadavka",VLOOKUP(G376,MODULY_CBA!$B$3:$E$23,2,0),),)</f>
        <v>1.18</v>
      </c>
      <c r="O376" s="378">
        <f t="shared" si="25"/>
        <v>11.032999999999999</v>
      </c>
      <c r="P376" s="377">
        <f>IFERROR(O376*VLOOKUP(G376,MODULY_CBA!$B$3:$F$23,5,0),)</f>
        <v>330.99</v>
      </c>
      <c r="Q376" s="478" t="str">
        <f>IFERROR(VLOOKUP(G376,MODULY_CBA!$B$3:$I$23,6,0),"")</f>
        <v>Inkrement 2</v>
      </c>
    </row>
    <row r="377" spans="1:17" ht="25.5">
      <c r="A377" s="401">
        <v>375</v>
      </c>
      <c r="B377" s="401" t="s">
        <v>475</v>
      </c>
      <c r="C377" s="530" t="s">
        <v>817</v>
      </c>
      <c r="D377" s="530" t="s">
        <v>855</v>
      </c>
      <c r="E377" s="530"/>
      <c r="F377" s="389" t="s">
        <v>8</v>
      </c>
      <c r="G377" s="389" t="s">
        <v>258</v>
      </c>
      <c r="H377" s="379">
        <v>1</v>
      </c>
      <c r="I377" s="379">
        <v>5</v>
      </c>
      <c r="J377" s="379">
        <f t="shared" si="23"/>
        <v>1</v>
      </c>
      <c r="K377" s="379">
        <f t="shared" si="24"/>
        <v>5</v>
      </c>
      <c r="L377" s="643">
        <f>IFERROR(IF(B377="funkcna poziadavka",VLOOKUP(G377,MODULY_CBA!$B$3:$E$23,4,0)*H377/SUMIFS($H$3:$H$199,$G$3:$G$199,G377,$B$3:$B$199,B377),),)</f>
        <v>0</v>
      </c>
      <c r="M377" s="379">
        <f>IFERROR(IF(B377="Funkcna poziadavka",VLOOKUP(G377,MODULY_CBA!$B$3:$E$23,3,0),),)</f>
        <v>0.93499999999999994</v>
      </c>
      <c r="N377" s="379">
        <f>IFERROR(IF(B377="funkcna poziadavka",VLOOKUP(G377,MODULY_CBA!$B$3:$E$23,2,0),),)</f>
        <v>1.18</v>
      </c>
      <c r="O377" s="378">
        <f t="shared" si="25"/>
        <v>5.5164999999999997</v>
      </c>
      <c r="P377" s="377">
        <f>IFERROR(O377*VLOOKUP(G377,MODULY_CBA!$B$3:$F$23,5,0),)</f>
        <v>165.495</v>
      </c>
      <c r="Q377" s="478" t="str">
        <f>IFERROR(VLOOKUP(G377,MODULY_CBA!$B$3:$I$23,6,0),"")</f>
        <v>Inkrement 2</v>
      </c>
    </row>
    <row r="378" spans="1:17" ht="25.5">
      <c r="A378" s="401">
        <v>376</v>
      </c>
      <c r="B378" s="401" t="s">
        <v>475</v>
      </c>
      <c r="C378" s="530" t="s">
        <v>817</v>
      </c>
      <c r="D378" s="530" t="s">
        <v>856</v>
      </c>
      <c r="E378" s="530"/>
      <c r="F378" s="389" t="s">
        <v>8</v>
      </c>
      <c r="G378" s="389" t="s">
        <v>258</v>
      </c>
      <c r="H378" s="379">
        <v>1</v>
      </c>
      <c r="I378" s="379">
        <v>5</v>
      </c>
      <c r="J378" s="379">
        <f t="shared" si="23"/>
        <v>1</v>
      </c>
      <c r="K378" s="379">
        <f t="shared" si="24"/>
        <v>5</v>
      </c>
      <c r="L378" s="643">
        <f>IFERROR(IF(B378="funkcna poziadavka",VLOOKUP(G378,MODULY_CBA!$B$3:$E$23,4,0)*H378/SUMIFS($H$3:$H$199,$G$3:$G$199,G378,$B$3:$B$199,B378),),)</f>
        <v>0</v>
      </c>
      <c r="M378" s="379">
        <f>IFERROR(IF(B378="Funkcna poziadavka",VLOOKUP(G378,MODULY_CBA!$B$3:$E$23,3,0),),)</f>
        <v>0.93499999999999994</v>
      </c>
      <c r="N378" s="379">
        <f>IFERROR(IF(B378="funkcna poziadavka",VLOOKUP(G378,MODULY_CBA!$B$3:$E$23,2,0),),)</f>
        <v>1.18</v>
      </c>
      <c r="O378" s="378">
        <f t="shared" si="25"/>
        <v>5.5164999999999997</v>
      </c>
      <c r="P378" s="377">
        <f>IFERROR(O378*VLOOKUP(G378,MODULY_CBA!$B$3:$F$23,5,0),)</f>
        <v>165.495</v>
      </c>
      <c r="Q378" s="478" t="str">
        <f>IFERROR(VLOOKUP(G378,MODULY_CBA!$B$3:$I$23,6,0),"")</f>
        <v>Inkrement 2</v>
      </c>
    </row>
    <row r="379" spans="1:17" ht="25.5">
      <c r="A379" s="401">
        <v>377</v>
      </c>
      <c r="B379" s="401" t="s">
        <v>475</v>
      </c>
      <c r="C379" s="530" t="s">
        <v>817</v>
      </c>
      <c r="D379" s="530" t="s">
        <v>857</v>
      </c>
      <c r="E379" s="530"/>
      <c r="F379" s="389" t="s">
        <v>8</v>
      </c>
      <c r="G379" s="389" t="s">
        <v>258</v>
      </c>
      <c r="H379" s="379">
        <v>1</v>
      </c>
      <c r="I379" s="379">
        <v>5</v>
      </c>
      <c r="J379" s="379">
        <f t="shared" si="23"/>
        <v>1</v>
      </c>
      <c r="K379" s="379">
        <f t="shared" si="24"/>
        <v>5</v>
      </c>
      <c r="L379" s="643">
        <f>IFERROR(IF(B379="funkcna poziadavka",VLOOKUP(G379,MODULY_CBA!$B$3:$E$23,4,0)*H379/SUMIFS($H$3:$H$199,$G$3:$G$199,G379,$B$3:$B$199,B379),),)</f>
        <v>0</v>
      </c>
      <c r="M379" s="379">
        <f>IFERROR(IF(B379="Funkcna poziadavka",VLOOKUP(G379,MODULY_CBA!$B$3:$E$23,3,0),),)</f>
        <v>0.93499999999999994</v>
      </c>
      <c r="N379" s="379">
        <f>IFERROR(IF(B379="funkcna poziadavka",VLOOKUP(G379,MODULY_CBA!$B$3:$E$23,2,0),),)</f>
        <v>1.18</v>
      </c>
      <c r="O379" s="378">
        <f t="shared" si="25"/>
        <v>5.5164999999999997</v>
      </c>
      <c r="P379" s="377">
        <f>IFERROR(O379*VLOOKUP(G379,MODULY_CBA!$B$3:$F$23,5,0),)</f>
        <v>165.495</v>
      </c>
      <c r="Q379" s="478" t="str">
        <f>IFERROR(VLOOKUP(G379,MODULY_CBA!$B$3:$I$23,6,0),"")</f>
        <v>Inkrement 2</v>
      </c>
    </row>
    <row r="380" spans="1:17" ht="25.5">
      <c r="A380" s="401">
        <v>378</v>
      </c>
      <c r="B380" s="401" t="s">
        <v>475</v>
      </c>
      <c r="C380" s="530" t="s">
        <v>817</v>
      </c>
      <c r="D380" s="530" t="s">
        <v>858</v>
      </c>
      <c r="E380" s="530"/>
      <c r="F380" s="389" t="s">
        <v>8</v>
      </c>
      <c r="G380" s="389" t="s">
        <v>258</v>
      </c>
      <c r="H380" s="379">
        <v>1</v>
      </c>
      <c r="I380" s="379">
        <v>5</v>
      </c>
      <c r="J380" s="379">
        <f t="shared" si="23"/>
        <v>1</v>
      </c>
      <c r="K380" s="379">
        <f t="shared" si="24"/>
        <v>5</v>
      </c>
      <c r="L380" s="643">
        <f>IFERROR(IF(B380="funkcna poziadavka",VLOOKUP(G380,MODULY_CBA!$B$3:$E$23,4,0)*H380/SUMIFS($H$3:$H$199,$G$3:$G$199,G380,$B$3:$B$199,B380),),)</f>
        <v>0</v>
      </c>
      <c r="M380" s="379">
        <f>IFERROR(IF(B380="Funkcna poziadavka",VLOOKUP(G380,MODULY_CBA!$B$3:$E$23,3,0),),)</f>
        <v>0.93499999999999994</v>
      </c>
      <c r="N380" s="379">
        <f>IFERROR(IF(B380="funkcna poziadavka",VLOOKUP(G380,MODULY_CBA!$B$3:$E$23,2,0),),)</f>
        <v>1.18</v>
      </c>
      <c r="O380" s="378">
        <f t="shared" si="25"/>
        <v>5.5164999999999997</v>
      </c>
      <c r="P380" s="377">
        <f>IFERROR(O380*VLOOKUP(G380,MODULY_CBA!$B$3:$F$23,5,0),)</f>
        <v>165.495</v>
      </c>
      <c r="Q380" s="478" t="str">
        <f>IFERROR(VLOOKUP(G380,MODULY_CBA!$B$3:$I$23,6,0),"")</f>
        <v>Inkrement 2</v>
      </c>
    </row>
    <row r="381" spans="1:17" ht="25.5">
      <c r="A381" s="401">
        <v>379</v>
      </c>
      <c r="B381" s="401" t="s">
        <v>475</v>
      </c>
      <c r="C381" s="530" t="s">
        <v>817</v>
      </c>
      <c r="D381" s="530" t="s">
        <v>859</v>
      </c>
      <c r="E381" s="530"/>
      <c r="F381" s="389" t="s">
        <v>8</v>
      </c>
      <c r="G381" s="389" t="s">
        <v>258</v>
      </c>
      <c r="H381" s="379">
        <v>1</v>
      </c>
      <c r="I381" s="379">
        <v>5</v>
      </c>
      <c r="J381" s="379">
        <f t="shared" si="23"/>
        <v>1</v>
      </c>
      <c r="K381" s="379">
        <f t="shared" si="24"/>
        <v>5</v>
      </c>
      <c r="L381" s="643">
        <f>IFERROR(IF(B381="funkcna poziadavka",VLOOKUP(G381,MODULY_CBA!$B$3:$E$23,4,0)*H381/SUMIFS($H$3:$H$199,$G$3:$G$199,G381,$B$3:$B$199,B381),),)</f>
        <v>0</v>
      </c>
      <c r="M381" s="379">
        <f>IFERROR(IF(B381="Funkcna poziadavka",VLOOKUP(G381,MODULY_CBA!$B$3:$E$23,3,0),),)</f>
        <v>0.93499999999999994</v>
      </c>
      <c r="N381" s="379">
        <f>IFERROR(IF(B381="funkcna poziadavka",VLOOKUP(G381,MODULY_CBA!$B$3:$E$23,2,0),),)</f>
        <v>1.18</v>
      </c>
      <c r="O381" s="378">
        <f t="shared" si="25"/>
        <v>5.5164999999999997</v>
      </c>
      <c r="P381" s="377">
        <f>IFERROR(O381*VLOOKUP(G381,MODULY_CBA!$B$3:$F$23,5,0),)</f>
        <v>165.495</v>
      </c>
      <c r="Q381" s="478" t="str">
        <f>IFERROR(VLOOKUP(G381,MODULY_CBA!$B$3:$I$23,6,0),"")</f>
        <v>Inkrement 2</v>
      </c>
    </row>
    <row r="382" spans="1:17" ht="25.5">
      <c r="A382" s="401">
        <v>380</v>
      </c>
      <c r="B382" s="401" t="s">
        <v>475</v>
      </c>
      <c r="C382" s="530" t="s">
        <v>817</v>
      </c>
      <c r="D382" s="530" t="s">
        <v>860</v>
      </c>
      <c r="E382" s="530"/>
      <c r="F382" s="389" t="s">
        <v>8</v>
      </c>
      <c r="G382" s="389" t="s">
        <v>258</v>
      </c>
      <c r="H382" s="379">
        <v>1</v>
      </c>
      <c r="I382" s="379">
        <v>5</v>
      </c>
      <c r="J382" s="379">
        <f t="shared" si="23"/>
        <v>1</v>
      </c>
      <c r="K382" s="379">
        <f t="shared" si="24"/>
        <v>5</v>
      </c>
      <c r="L382" s="643">
        <f>IFERROR(IF(B382="funkcna poziadavka",VLOOKUP(G382,MODULY_CBA!$B$3:$E$23,4,0)*H382/SUMIFS($H$3:$H$199,$G$3:$G$199,G382,$B$3:$B$199,B382),),)</f>
        <v>0</v>
      </c>
      <c r="M382" s="379">
        <f>IFERROR(IF(B382="Funkcna poziadavka",VLOOKUP(G382,MODULY_CBA!$B$3:$E$23,3,0),),)</f>
        <v>0.93499999999999994</v>
      </c>
      <c r="N382" s="379">
        <f>IFERROR(IF(B382="funkcna poziadavka",VLOOKUP(G382,MODULY_CBA!$B$3:$E$23,2,0),),)</f>
        <v>1.18</v>
      </c>
      <c r="O382" s="378">
        <f t="shared" si="25"/>
        <v>5.5164999999999997</v>
      </c>
      <c r="P382" s="377">
        <f>IFERROR(O382*VLOOKUP(G382,MODULY_CBA!$B$3:$F$23,5,0),)</f>
        <v>165.495</v>
      </c>
      <c r="Q382" s="478" t="str">
        <f>IFERROR(VLOOKUP(G382,MODULY_CBA!$B$3:$I$23,6,0),"")</f>
        <v>Inkrement 2</v>
      </c>
    </row>
    <row r="383" spans="1:17" ht="25.5">
      <c r="A383" s="401">
        <v>381</v>
      </c>
      <c r="B383" s="401" t="s">
        <v>475</v>
      </c>
      <c r="C383" s="530" t="s">
        <v>817</v>
      </c>
      <c r="D383" s="530" t="s">
        <v>861</v>
      </c>
      <c r="E383" s="530"/>
      <c r="F383" s="389" t="s">
        <v>8</v>
      </c>
      <c r="G383" s="389" t="s">
        <v>258</v>
      </c>
      <c r="H383" s="379">
        <v>1</v>
      </c>
      <c r="I383" s="379">
        <v>5</v>
      </c>
      <c r="J383" s="379">
        <f t="shared" si="23"/>
        <v>1</v>
      </c>
      <c r="K383" s="379">
        <f t="shared" si="24"/>
        <v>5</v>
      </c>
      <c r="L383" s="643">
        <f>IFERROR(IF(B383="funkcna poziadavka",VLOOKUP(G383,MODULY_CBA!$B$3:$E$23,4,0)*H383/SUMIFS($H$3:$H$199,$G$3:$G$199,G383,$B$3:$B$199,B383),),)</f>
        <v>0</v>
      </c>
      <c r="M383" s="379">
        <f>IFERROR(IF(B383="Funkcna poziadavka",VLOOKUP(G383,MODULY_CBA!$B$3:$E$23,3,0),),)</f>
        <v>0.93499999999999994</v>
      </c>
      <c r="N383" s="379">
        <f>IFERROR(IF(B383="funkcna poziadavka",VLOOKUP(G383,MODULY_CBA!$B$3:$E$23,2,0),),)</f>
        <v>1.18</v>
      </c>
      <c r="O383" s="378">
        <f t="shared" si="25"/>
        <v>5.5164999999999997</v>
      </c>
      <c r="P383" s="377">
        <f>IFERROR(O383*VLOOKUP(G383,MODULY_CBA!$B$3:$F$23,5,0),)</f>
        <v>165.495</v>
      </c>
      <c r="Q383" s="478" t="str">
        <f>IFERROR(VLOOKUP(G383,MODULY_CBA!$B$3:$I$23,6,0),"")</f>
        <v>Inkrement 2</v>
      </c>
    </row>
    <row r="384" spans="1:17" ht="25.5">
      <c r="A384" s="401">
        <v>382</v>
      </c>
      <c r="B384" s="401" t="s">
        <v>475</v>
      </c>
      <c r="C384" s="530" t="s">
        <v>817</v>
      </c>
      <c r="D384" s="530" t="s">
        <v>862</v>
      </c>
      <c r="E384" s="530"/>
      <c r="F384" s="389" t="s">
        <v>8</v>
      </c>
      <c r="G384" s="389" t="s">
        <v>258</v>
      </c>
      <c r="H384" s="379">
        <v>1</v>
      </c>
      <c r="I384" s="379">
        <v>5</v>
      </c>
      <c r="J384" s="379">
        <f t="shared" si="23"/>
        <v>1</v>
      </c>
      <c r="K384" s="379">
        <f t="shared" si="24"/>
        <v>5</v>
      </c>
      <c r="L384" s="643">
        <f>IFERROR(IF(B384="funkcna poziadavka",VLOOKUP(G384,MODULY_CBA!$B$3:$E$23,4,0)*H384/SUMIFS($H$3:$H$199,$G$3:$G$199,G384,$B$3:$B$199,B384),),)</f>
        <v>0</v>
      </c>
      <c r="M384" s="379">
        <f>IFERROR(IF(B384="Funkcna poziadavka",VLOOKUP(G384,MODULY_CBA!$B$3:$E$23,3,0),),)</f>
        <v>0.93499999999999994</v>
      </c>
      <c r="N384" s="379">
        <f>IFERROR(IF(B384="funkcna poziadavka",VLOOKUP(G384,MODULY_CBA!$B$3:$E$23,2,0),),)</f>
        <v>1.18</v>
      </c>
      <c r="O384" s="378">
        <f t="shared" si="25"/>
        <v>5.5164999999999997</v>
      </c>
      <c r="P384" s="377">
        <f>IFERROR(O384*VLOOKUP(G384,MODULY_CBA!$B$3:$F$23,5,0),)</f>
        <v>165.495</v>
      </c>
      <c r="Q384" s="478" t="str">
        <f>IFERROR(VLOOKUP(G384,MODULY_CBA!$B$3:$I$23,6,0),"")</f>
        <v>Inkrement 2</v>
      </c>
    </row>
    <row r="385" spans="1:17" ht="25.5">
      <c r="A385" s="401">
        <v>383</v>
      </c>
      <c r="B385" s="401" t="s">
        <v>475</v>
      </c>
      <c r="C385" s="530" t="s">
        <v>817</v>
      </c>
      <c r="D385" s="530" t="s">
        <v>863</v>
      </c>
      <c r="E385" s="530"/>
      <c r="F385" s="389" t="s">
        <v>8</v>
      </c>
      <c r="G385" s="389" t="s">
        <v>258</v>
      </c>
      <c r="H385" s="379">
        <v>1</v>
      </c>
      <c r="I385" s="379">
        <v>10</v>
      </c>
      <c r="J385" s="379">
        <f t="shared" si="23"/>
        <v>1</v>
      </c>
      <c r="K385" s="379">
        <f t="shared" si="24"/>
        <v>10</v>
      </c>
      <c r="L385" s="643">
        <f>IFERROR(IF(B385="funkcna poziadavka",VLOOKUP(G385,MODULY_CBA!$B$3:$E$23,4,0)*H385/SUMIFS($H$3:$H$199,$G$3:$G$199,G385,$B$3:$B$199,B385),),)</f>
        <v>0</v>
      </c>
      <c r="M385" s="379">
        <f>IFERROR(IF(B385="Funkcna poziadavka",VLOOKUP(G385,MODULY_CBA!$B$3:$E$23,3,0),),)</f>
        <v>0.93499999999999994</v>
      </c>
      <c r="N385" s="379">
        <f>IFERROR(IF(B385="funkcna poziadavka",VLOOKUP(G385,MODULY_CBA!$B$3:$E$23,2,0),),)</f>
        <v>1.18</v>
      </c>
      <c r="O385" s="378">
        <f t="shared" si="25"/>
        <v>11.032999999999999</v>
      </c>
      <c r="P385" s="377">
        <f>IFERROR(O385*VLOOKUP(G385,MODULY_CBA!$B$3:$F$23,5,0),)</f>
        <v>330.99</v>
      </c>
      <c r="Q385" s="478" t="str">
        <f>IFERROR(VLOOKUP(G385,MODULY_CBA!$B$3:$I$23,6,0),"")</f>
        <v>Inkrement 2</v>
      </c>
    </row>
    <row r="386" spans="1:17" ht="25.5">
      <c r="A386" s="401">
        <v>384</v>
      </c>
      <c r="B386" s="401" t="s">
        <v>475</v>
      </c>
      <c r="C386" s="530" t="s">
        <v>817</v>
      </c>
      <c r="D386" s="530" t="s">
        <v>864</v>
      </c>
      <c r="E386" s="530"/>
      <c r="F386" s="389" t="s">
        <v>8</v>
      </c>
      <c r="G386" s="389" t="s">
        <v>258</v>
      </c>
      <c r="H386" s="379">
        <v>1</v>
      </c>
      <c r="I386" s="379">
        <v>15</v>
      </c>
      <c r="J386" s="379">
        <f t="shared" si="23"/>
        <v>1</v>
      </c>
      <c r="K386" s="379">
        <f t="shared" si="24"/>
        <v>15</v>
      </c>
      <c r="L386" s="643">
        <f>IFERROR(IF(B386="funkcna poziadavka",VLOOKUP(G386,MODULY_CBA!$B$3:$E$23,4,0)*H386/SUMIFS($H$3:$H$199,$G$3:$G$199,G386,$B$3:$B$199,B386),),)</f>
        <v>0</v>
      </c>
      <c r="M386" s="379">
        <f>IFERROR(IF(B386="Funkcna poziadavka",VLOOKUP(G386,MODULY_CBA!$B$3:$E$23,3,0),),)</f>
        <v>0.93499999999999994</v>
      </c>
      <c r="N386" s="379">
        <f>IFERROR(IF(B386="funkcna poziadavka",VLOOKUP(G386,MODULY_CBA!$B$3:$E$23,2,0),),)</f>
        <v>1.18</v>
      </c>
      <c r="O386" s="378">
        <f t="shared" si="25"/>
        <v>16.549499999999998</v>
      </c>
      <c r="P386" s="377">
        <f>IFERROR(O386*VLOOKUP(G386,MODULY_CBA!$B$3:$F$23,5,0),)</f>
        <v>496.48499999999996</v>
      </c>
      <c r="Q386" s="478" t="str">
        <f>IFERROR(VLOOKUP(G386,MODULY_CBA!$B$3:$I$23,6,0),"")</f>
        <v>Inkrement 2</v>
      </c>
    </row>
    <row r="387" spans="1:17" ht="25.5">
      <c r="A387" s="401">
        <v>385</v>
      </c>
      <c r="B387" s="401" t="s">
        <v>475</v>
      </c>
      <c r="C387" s="530" t="s">
        <v>817</v>
      </c>
      <c r="D387" s="530" t="s">
        <v>865</v>
      </c>
      <c r="E387" s="530"/>
      <c r="F387" s="389" t="s">
        <v>8</v>
      </c>
      <c r="G387" s="389" t="s">
        <v>258</v>
      </c>
      <c r="H387" s="379">
        <v>1</v>
      </c>
      <c r="I387" s="379">
        <v>15</v>
      </c>
      <c r="J387" s="379">
        <f t="shared" si="23"/>
        <v>1</v>
      </c>
      <c r="K387" s="379">
        <f t="shared" si="24"/>
        <v>15</v>
      </c>
      <c r="L387" s="643">
        <f>IFERROR(IF(B387="funkcna poziadavka",VLOOKUP(G387,MODULY_CBA!$B$3:$E$23,4,0)*H387/SUMIFS($H$3:$H$199,$G$3:$G$199,G387,$B$3:$B$199,B387),),)</f>
        <v>0</v>
      </c>
      <c r="M387" s="379">
        <f>IFERROR(IF(B387="Funkcna poziadavka",VLOOKUP(G387,MODULY_CBA!$B$3:$E$23,3,0),),)</f>
        <v>0.93499999999999994</v>
      </c>
      <c r="N387" s="379">
        <f>IFERROR(IF(B387="funkcna poziadavka",VLOOKUP(G387,MODULY_CBA!$B$3:$E$23,2,0),),)</f>
        <v>1.18</v>
      </c>
      <c r="O387" s="378">
        <f t="shared" si="25"/>
        <v>16.549499999999998</v>
      </c>
      <c r="P387" s="377">
        <f>IFERROR(O387*VLOOKUP(G387,MODULY_CBA!$B$3:$F$23,5,0),)</f>
        <v>496.48499999999996</v>
      </c>
      <c r="Q387" s="478" t="str">
        <f>IFERROR(VLOOKUP(G387,MODULY_CBA!$B$3:$I$23,6,0),"")</f>
        <v>Inkrement 2</v>
      </c>
    </row>
    <row r="388" spans="1:17" ht="25.5">
      <c r="A388" s="401">
        <v>386</v>
      </c>
      <c r="B388" s="401" t="s">
        <v>475</v>
      </c>
      <c r="C388" s="530" t="s">
        <v>817</v>
      </c>
      <c r="D388" s="530" t="s">
        <v>866</v>
      </c>
      <c r="E388" s="530"/>
      <c r="F388" s="389" t="s">
        <v>8</v>
      </c>
      <c r="G388" s="389" t="s">
        <v>258</v>
      </c>
      <c r="H388" s="379">
        <v>1</v>
      </c>
      <c r="I388" s="379">
        <v>5</v>
      </c>
      <c r="J388" s="379">
        <f t="shared" ref="J388:J451" si="26">IF(ISNUMBER(H388),H388,)</f>
        <v>1</v>
      </c>
      <c r="K388" s="379">
        <f t="shared" si="24"/>
        <v>5</v>
      </c>
      <c r="L388" s="643">
        <f>IFERROR(IF(B388="funkcna poziadavka",VLOOKUP(G388,MODULY_CBA!$B$3:$E$23,4,0)*H388/SUMIFS($H$3:$H$199,$G$3:$G$199,G388,$B$3:$B$199,B388),),)</f>
        <v>0</v>
      </c>
      <c r="M388" s="379">
        <f>IFERROR(IF(B388="Funkcna poziadavka",VLOOKUP(G388,MODULY_CBA!$B$3:$E$23,3,0),),)</f>
        <v>0.93499999999999994</v>
      </c>
      <c r="N388" s="379">
        <f>IFERROR(IF(B388="funkcna poziadavka",VLOOKUP(G388,MODULY_CBA!$B$3:$E$23,2,0),),)</f>
        <v>1.18</v>
      </c>
      <c r="O388" s="378">
        <f t="shared" si="25"/>
        <v>5.5164999999999997</v>
      </c>
      <c r="P388" s="377">
        <f>IFERROR(O388*VLOOKUP(G388,MODULY_CBA!$B$3:$F$23,5,0),)</f>
        <v>165.495</v>
      </c>
      <c r="Q388" s="478" t="str">
        <f>IFERROR(VLOOKUP(G388,MODULY_CBA!$B$3:$I$23,6,0),"")</f>
        <v>Inkrement 2</v>
      </c>
    </row>
    <row r="389" spans="1:17" ht="25.5">
      <c r="A389" s="401">
        <v>387</v>
      </c>
      <c r="B389" s="401" t="s">
        <v>475</v>
      </c>
      <c r="C389" s="530" t="s">
        <v>817</v>
      </c>
      <c r="D389" s="530" t="s">
        <v>867</v>
      </c>
      <c r="E389" s="530"/>
      <c r="F389" s="389" t="s">
        <v>8</v>
      </c>
      <c r="G389" s="389" t="s">
        <v>258</v>
      </c>
      <c r="H389" s="379">
        <v>1</v>
      </c>
      <c r="I389" s="379">
        <v>10</v>
      </c>
      <c r="J389" s="379">
        <f t="shared" si="26"/>
        <v>1</v>
      </c>
      <c r="K389" s="379">
        <f t="shared" si="24"/>
        <v>10</v>
      </c>
      <c r="L389" s="643">
        <f>IFERROR(IF(B389="funkcna poziadavka",VLOOKUP(G389,MODULY_CBA!$B$3:$E$23,4,0)*H389/SUMIFS($H$3:$H$199,$G$3:$G$199,G389,$B$3:$B$199,B389),),)</f>
        <v>0</v>
      </c>
      <c r="M389" s="379">
        <f>IFERROR(IF(B389="Funkcna poziadavka",VLOOKUP(G389,MODULY_CBA!$B$3:$E$23,3,0),),)</f>
        <v>0.93499999999999994</v>
      </c>
      <c r="N389" s="379">
        <f>IFERROR(IF(B389="funkcna poziadavka",VLOOKUP(G389,MODULY_CBA!$B$3:$E$23,2,0),),)</f>
        <v>1.18</v>
      </c>
      <c r="O389" s="378">
        <f t="shared" si="25"/>
        <v>11.032999999999999</v>
      </c>
      <c r="P389" s="377">
        <f>IFERROR(O389*VLOOKUP(G389,MODULY_CBA!$B$3:$F$23,5,0),)</f>
        <v>330.99</v>
      </c>
      <c r="Q389" s="478" t="str">
        <f>IFERROR(VLOOKUP(G389,MODULY_CBA!$B$3:$I$23,6,0),"")</f>
        <v>Inkrement 2</v>
      </c>
    </row>
    <row r="390" spans="1:17" ht="25.5">
      <c r="A390" s="401">
        <v>388</v>
      </c>
      <c r="B390" s="401" t="s">
        <v>475</v>
      </c>
      <c r="C390" s="530" t="s">
        <v>817</v>
      </c>
      <c r="D390" s="530" t="s">
        <v>868</v>
      </c>
      <c r="E390" s="530"/>
      <c r="F390" s="389" t="s">
        <v>8</v>
      </c>
      <c r="G390" s="389" t="s">
        <v>258</v>
      </c>
      <c r="H390" s="379">
        <v>1</v>
      </c>
      <c r="I390" s="379">
        <v>10</v>
      </c>
      <c r="J390" s="379">
        <f t="shared" si="26"/>
        <v>1</v>
      </c>
      <c r="K390" s="379">
        <f t="shared" si="24"/>
        <v>10</v>
      </c>
      <c r="L390" s="643">
        <f>IFERROR(IF(B390="funkcna poziadavka",VLOOKUP(G390,MODULY_CBA!$B$3:$E$23,4,0)*H390/SUMIFS($H$3:$H$199,$G$3:$G$199,G390,$B$3:$B$199,B390),),)</f>
        <v>0</v>
      </c>
      <c r="M390" s="379">
        <f>IFERROR(IF(B390="Funkcna poziadavka",VLOOKUP(G390,MODULY_CBA!$B$3:$E$23,3,0),),)</f>
        <v>0.93499999999999994</v>
      </c>
      <c r="N390" s="379">
        <f>IFERROR(IF(B390="funkcna poziadavka",VLOOKUP(G390,MODULY_CBA!$B$3:$E$23,2,0),),)</f>
        <v>1.18</v>
      </c>
      <c r="O390" s="378">
        <f t="shared" si="25"/>
        <v>11.032999999999999</v>
      </c>
      <c r="P390" s="377">
        <f>IFERROR(O390*VLOOKUP(G390,MODULY_CBA!$B$3:$F$23,5,0),)</f>
        <v>330.99</v>
      </c>
      <c r="Q390" s="478" t="str">
        <f>IFERROR(VLOOKUP(G390,MODULY_CBA!$B$3:$I$23,6,0),"")</f>
        <v>Inkrement 2</v>
      </c>
    </row>
    <row r="391" spans="1:17" ht="25.5">
      <c r="A391" s="401">
        <v>389</v>
      </c>
      <c r="B391" s="401" t="s">
        <v>475</v>
      </c>
      <c r="C391" s="530" t="s">
        <v>817</v>
      </c>
      <c r="D391" s="530" t="s">
        <v>869</v>
      </c>
      <c r="E391" s="530"/>
      <c r="F391" s="389" t="s">
        <v>8</v>
      </c>
      <c r="G391" s="389" t="s">
        <v>258</v>
      </c>
      <c r="H391" s="379">
        <v>1</v>
      </c>
      <c r="I391" s="379">
        <v>10</v>
      </c>
      <c r="J391" s="379">
        <f t="shared" si="26"/>
        <v>1</v>
      </c>
      <c r="K391" s="379">
        <f t="shared" si="24"/>
        <v>10</v>
      </c>
      <c r="L391" s="643">
        <f>IFERROR(IF(B391="funkcna poziadavka",VLOOKUP(G391,MODULY_CBA!$B$3:$E$23,4,0)*H391/SUMIFS($H$3:$H$199,$G$3:$G$199,G391,$B$3:$B$199,B391),),)</f>
        <v>0</v>
      </c>
      <c r="M391" s="379">
        <f>IFERROR(IF(B391="Funkcna poziadavka",VLOOKUP(G391,MODULY_CBA!$B$3:$E$23,3,0),),)</f>
        <v>0.93499999999999994</v>
      </c>
      <c r="N391" s="379">
        <f>IFERROR(IF(B391="funkcna poziadavka",VLOOKUP(G391,MODULY_CBA!$B$3:$E$23,2,0),),)</f>
        <v>1.18</v>
      </c>
      <c r="O391" s="378">
        <f t="shared" si="25"/>
        <v>11.032999999999999</v>
      </c>
      <c r="P391" s="377">
        <f>IFERROR(O391*VLOOKUP(G391,MODULY_CBA!$B$3:$F$23,5,0),)</f>
        <v>330.99</v>
      </c>
      <c r="Q391" s="478" t="str">
        <f>IFERROR(VLOOKUP(G391,MODULY_CBA!$B$3:$I$23,6,0),"")</f>
        <v>Inkrement 2</v>
      </c>
    </row>
    <row r="392" spans="1:17" ht="25.5">
      <c r="A392" s="401">
        <v>390</v>
      </c>
      <c r="B392" s="401" t="s">
        <v>475</v>
      </c>
      <c r="C392" s="530" t="s">
        <v>817</v>
      </c>
      <c r="D392" s="530" t="s">
        <v>870</v>
      </c>
      <c r="E392" s="530"/>
      <c r="F392" s="389" t="s">
        <v>8</v>
      </c>
      <c r="G392" s="389" t="s">
        <v>258</v>
      </c>
      <c r="H392" s="379">
        <v>1</v>
      </c>
      <c r="I392" s="379">
        <v>10</v>
      </c>
      <c r="J392" s="379">
        <f t="shared" si="26"/>
        <v>1</v>
      </c>
      <c r="K392" s="379">
        <f t="shared" si="24"/>
        <v>10</v>
      </c>
      <c r="L392" s="643">
        <f>IFERROR(IF(B392="funkcna poziadavka",VLOOKUP(G392,MODULY_CBA!$B$3:$E$23,4,0)*H392/SUMIFS($H$3:$H$199,$G$3:$G$199,G392,$B$3:$B$199,B392),),)</f>
        <v>0</v>
      </c>
      <c r="M392" s="379">
        <f>IFERROR(IF(B392="Funkcna poziadavka",VLOOKUP(G392,MODULY_CBA!$B$3:$E$23,3,0),),)</f>
        <v>0.93499999999999994</v>
      </c>
      <c r="N392" s="379">
        <f>IFERROR(IF(B392="funkcna poziadavka",VLOOKUP(G392,MODULY_CBA!$B$3:$E$23,2,0),),)</f>
        <v>1.18</v>
      </c>
      <c r="O392" s="378">
        <f t="shared" si="25"/>
        <v>11.032999999999999</v>
      </c>
      <c r="P392" s="377">
        <f>IFERROR(O392*VLOOKUP(G392,MODULY_CBA!$B$3:$F$23,5,0),)</f>
        <v>330.99</v>
      </c>
      <c r="Q392" s="478" t="str">
        <f>IFERROR(VLOOKUP(G392,MODULY_CBA!$B$3:$I$23,6,0),"")</f>
        <v>Inkrement 2</v>
      </c>
    </row>
    <row r="393" spans="1:17" ht="25.5">
      <c r="A393" s="401">
        <v>391</v>
      </c>
      <c r="B393" s="401" t="s">
        <v>475</v>
      </c>
      <c r="C393" s="530" t="s">
        <v>817</v>
      </c>
      <c r="D393" s="530" t="s">
        <v>871</v>
      </c>
      <c r="E393" s="530"/>
      <c r="F393" s="389" t="s">
        <v>8</v>
      </c>
      <c r="G393" s="389" t="s">
        <v>258</v>
      </c>
      <c r="H393" s="379">
        <v>1</v>
      </c>
      <c r="I393" s="379">
        <v>10</v>
      </c>
      <c r="J393" s="379">
        <f t="shared" si="26"/>
        <v>1</v>
      </c>
      <c r="K393" s="379">
        <f t="shared" si="24"/>
        <v>10</v>
      </c>
      <c r="L393" s="643">
        <f>IFERROR(IF(B393="funkcna poziadavka",VLOOKUP(G393,MODULY_CBA!$B$3:$E$23,4,0)*H393/SUMIFS($H$3:$H$199,$G$3:$G$199,G393,$B$3:$B$199,B393),),)</f>
        <v>0</v>
      </c>
      <c r="M393" s="379">
        <f>IFERROR(IF(B393="Funkcna poziadavka",VLOOKUP(G393,MODULY_CBA!$B$3:$E$23,3,0),),)</f>
        <v>0.93499999999999994</v>
      </c>
      <c r="N393" s="379">
        <f>IFERROR(IF(B393="funkcna poziadavka",VLOOKUP(G393,MODULY_CBA!$B$3:$E$23,2,0),),)</f>
        <v>1.18</v>
      </c>
      <c r="O393" s="378">
        <f t="shared" si="25"/>
        <v>11.032999999999999</v>
      </c>
      <c r="P393" s="377">
        <f>IFERROR(O393*VLOOKUP(G393,MODULY_CBA!$B$3:$F$23,5,0),)</f>
        <v>330.99</v>
      </c>
      <c r="Q393" s="478" t="str">
        <f>IFERROR(VLOOKUP(G393,MODULY_CBA!$B$3:$I$23,6,0),"")</f>
        <v>Inkrement 2</v>
      </c>
    </row>
    <row r="394" spans="1:17" ht="25.5">
      <c r="A394" s="401">
        <v>392</v>
      </c>
      <c r="B394" s="401" t="s">
        <v>475</v>
      </c>
      <c r="C394" s="530" t="s">
        <v>817</v>
      </c>
      <c r="D394" s="530" t="s">
        <v>872</v>
      </c>
      <c r="E394" s="530"/>
      <c r="F394" s="389" t="s">
        <v>8</v>
      </c>
      <c r="G394" s="389" t="s">
        <v>258</v>
      </c>
      <c r="H394" s="379">
        <v>1</v>
      </c>
      <c r="I394" s="379">
        <v>10</v>
      </c>
      <c r="J394" s="379">
        <f t="shared" si="26"/>
        <v>1</v>
      </c>
      <c r="K394" s="379">
        <f t="shared" si="24"/>
        <v>10</v>
      </c>
      <c r="L394" s="643">
        <f>IFERROR(IF(B394="funkcna poziadavka",VLOOKUP(G394,MODULY_CBA!$B$3:$E$23,4,0)*H394/SUMIFS($H$3:$H$199,$G$3:$G$199,G394,$B$3:$B$199,B394),),)</f>
        <v>0</v>
      </c>
      <c r="M394" s="379">
        <f>IFERROR(IF(B394="Funkcna poziadavka",VLOOKUP(G394,MODULY_CBA!$B$3:$E$23,3,0),),)</f>
        <v>0.93499999999999994</v>
      </c>
      <c r="N394" s="379">
        <f>IFERROR(IF(B394="funkcna poziadavka",VLOOKUP(G394,MODULY_CBA!$B$3:$E$23,2,0),),)</f>
        <v>1.18</v>
      </c>
      <c r="O394" s="378">
        <f t="shared" si="25"/>
        <v>11.032999999999999</v>
      </c>
      <c r="P394" s="377">
        <f>IFERROR(O394*VLOOKUP(G394,MODULY_CBA!$B$3:$F$23,5,0),)</f>
        <v>330.99</v>
      </c>
      <c r="Q394" s="478" t="str">
        <f>IFERROR(VLOOKUP(G394,MODULY_CBA!$B$3:$I$23,6,0),"")</f>
        <v>Inkrement 2</v>
      </c>
    </row>
    <row r="395" spans="1:17" ht="25.5">
      <c r="A395" s="401">
        <v>393</v>
      </c>
      <c r="B395" s="401" t="s">
        <v>475</v>
      </c>
      <c r="C395" s="530" t="s">
        <v>817</v>
      </c>
      <c r="D395" s="530" t="s">
        <v>873</v>
      </c>
      <c r="E395" s="530"/>
      <c r="F395" s="389" t="s">
        <v>8</v>
      </c>
      <c r="G395" s="389" t="s">
        <v>258</v>
      </c>
      <c r="H395" s="379">
        <v>1</v>
      </c>
      <c r="I395" s="379">
        <v>10</v>
      </c>
      <c r="J395" s="379">
        <f t="shared" si="26"/>
        <v>1</v>
      </c>
      <c r="K395" s="379">
        <f t="shared" si="24"/>
        <v>10</v>
      </c>
      <c r="L395" s="643">
        <f>IFERROR(IF(B395="funkcna poziadavka",VLOOKUP(G395,MODULY_CBA!$B$3:$E$23,4,0)*H395/SUMIFS($H$3:$H$199,$G$3:$G$199,G395,$B$3:$B$199,B395),),)</f>
        <v>0</v>
      </c>
      <c r="M395" s="379">
        <f>IFERROR(IF(B395="Funkcna poziadavka",VLOOKUP(G395,MODULY_CBA!$B$3:$E$23,3,0),),)</f>
        <v>0.93499999999999994</v>
      </c>
      <c r="N395" s="379">
        <f>IFERROR(IF(B395="funkcna poziadavka",VLOOKUP(G395,MODULY_CBA!$B$3:$E$23,2,0),),)</f>
        <v>1.18</v>
      </c>
      <c r="O395" s="378">
        <f t="shared" si="25"/>
        <v>11.032999999999999</v>
      </c>
      <c r="P395" s="377">
        <f>IFERROR(O395*VLOOKUP(G395,MODULY_CBA!$B$3:$F$23,5,0),)</f>
        <v>330.99</v>
      </c>
      <c r="Q395" s="478" t="str">
        <f>IFERROR(VLOOKUP(G395,MODULY_CBA!$B$3:$I$23,6,0),"")</f>
        <v>Inkrement 2</v>
      </c>
    </row>
    <row r="396" spans="1:17" ht="25.5">
      <c r="A396" s="401">
        <v>394</v>
      </c>
      <c r="B396" s="401" t="s">
        <v>475</v>
      </c>
      <c r="C396" s="530" t="s">
        <v>817</v>
      </c>
      <c r="D396" s="530" t="s">
        <v>874</v>
      </c>
      <c r="E396" s="530"/>
      <c r="F396" s="389" t="s">
        <v>8</v>
      </c>
      <c r="G396" s="389" t="s">
        <v>258</v>
      </c>
      <c r="H396" s="379">
        <v>1</v>
      </c>
      <c r="I396" s="379">
        <v>10</v>
      </c>
      <c r="J396" s="379">
        <f t="shared" si="26"/>
        <v>1</v>
      </c>
      <c r="K396" s="379">
        <f t="shared" si="24"/>
        <v>10</v>
      </c>
      <c r="L396" s="643">
        <f>IFERROR(IF(B396="funkcna poziadavka",VLOOKUP(G396,MODULY_CBA!$B$3:$E$23,4,0)*H396/SUMIFS($H$3:$H$199,$G$3:$G$199,G396,$B$3:$B$199,B396),),)</f>
        <v>0</v>
      </c>
      <c r="M396" s="379">
        <f>IFERROR(IF(B396="Funkcna poziadavka",VLOOKUP(G396,MODULY_CBA!$B$3:$E$23,3,0),),)</f>
        <v>0.93499999999999994</v>
      </c>
      <c r="N396" s="379">
        <f>IFERROR(IF(B396="funkcna poziadavka",VLOOKUP(G396,MODULY_CBA!$B$3:$E$23,2,0),),)</f>
        <v>1.18</v>
      </c>
      <c r="O396" s="378">
        <f t="shared" si="25"/>
        <v>11.032999999999999</v>
      </c>
      <c r="P396" s="377">
        <f>IFERROR(O396*VLOOKUP(G396,MODULY_CBA!$B$3:$F$23,5,0),)</f>
        <v>330.99</v>
      </c>
      <c r="Q396" s="478" t="str">
        <f>IFERROR(VLOOKUP(G396,MODULY_CBA!$B$3:$I$23,6,0),"")</f>
        <v>Inkrement 2</v>
      </c>
    </row>
    <row r="397" spans="1:17" ht="25.5">
      <c r="A397" s="401">
        <v>395</v>
      </c>
      <c r="B397" s="401" t="s">
        <v>475</v>
      </c>
      <c r="C397" s="530" t="s">
        <v>817</v>
      </c>
      <c r="D397" s="530" t="s">
        <v>875</v>
      </c>
      <c r="E397" s="530"/>
      <c r="F397" s="389" t="s">
        <v>8</v>
      </c>
      <c r="G397" s="389" t="s">
        <v>258</v>
      </c>
      <c r="H397" s="379">
        <v>1</v>
      </c>
      <c r="I397" s="379">
        <v>10</v>
      </c>
      <c r="J397" s="379">
        <f t="shared" si="26"/>
        <v>1</v>
      </c>
      <c r="K397" s="379">
        <f t="shared" si="24"/>
        <v>10</v>
      </c>
      <c r="L397" s="643">
        <f>IFERROR(IF(B397="funkcna poziadavka",VLOOKUP(G397,MODULY_CBA!$B$3:$E$23,4,0)*H397/SUMIFS($H$3:$H$199,$G$3:$G$199,G397,$B$3:$B$199,B397),),)</f>
        <v>0</v>
      </c>
      <c r="M397" s="379">
        <f>IFERROR(IF(B397="Funkcna poziadavka",VLOOKUP(G397,MODULY_CBA!$B$3:$E$23,3,0),),)</f>
        <v>0.93499999999999994</v>
      </c>
      <c r="N397" s="379">
        <f>IFERROR(IF(B397="funkcna poziadavka",VLOOKUP(G397,MODULY_CBA!$B$3:$E$23,2,0),),)</f>
        <v>1.18</v>
      </c>
      <c r="O397" s="378">
        <f t="shared" si="25"/>
        <v>11.032999999999999</v>
      </c>
      <c r="P397" s="377">
        <f>IFERROR(O397*VLOOKUP(G397,MODULY_CBA!$B$3:$F$23,5,0),)</f>
        <v>330.99</v>
      </c>
      <c r="Q397" s="478" t="str">
        <f>IFERROR(VLOOKUP(G397,MODULY_CBA!$B$3:$I$23,6,0),"")</f>
        <v>Inkrement 2</v>
      </c>
    </row>
    <row r="398" spans="1:17" ht="25.5">
      <c r="A398" s="401">
        <v>396</v>
      </c>
      <c r="B398" s="401" t="s">
        <v>475</v>
      </c>
      <c r="C398" s="530" t="s">
        <v>817</v>
      </c>
      <c r="D398" s="530" t="s">
        <v>876</v>
      </c>
      <c r="E398" s="530"/>
      <c r="F398" s="389" t="s">
        <v>8</v>
      </c>
      <c r="G398" s="389" t="s">
        <v>258</v>
      </c>
      <c r="H398" s="379">
        <v>1</v>
      </c>
      <c r="I398" s="379">
        <v>10</v>
      </c>
      <c r="J398" s="379">
        <f t="shared" si="26"/>
        <v>1</v>
      </c>
      <c r="K398" s="379">
        <f t="shared" si="24"/>
        <v>10</v>
      </c>
      <c r="L398" s="643">
        <f>IFERROR(IF(B398="funkcna poziadavka",VLOOKUP(G398,MODULY_CBA!$B$3:$E$23,4,0)*H398/SUMIFS($H$3:$H$199,$G$3:$G$199,G398,$B$3:$B$199,B398),),)</f>
        <v>0</v>
      </c>
      <c r="M398" s="379">
        <f>IFERROR(IF(B398="Funkcna poziadavka",VLOOKUP(G398,MODULY_CBA!$B$3:$E$23,3,0),),)</f>
        <v>0.93499999999999994</v>
      </c>
      <c r="N398" s="379">
        <f>IFERROR(IF(B398="funkcna poziadavka",VLOOKUP(G398,MODULY_CBA!$B$3:$E$23,2,0),),)</f>
        <v>1.18</v>
      </c>
      <c r="O398" s="378">
        <f t="shared" si="25"/>
        <v>11.032999999999999</v>
      </c>
      <c r="P398" s="377">
        <f>IFERROR(O398*VLOOKUP(G398,MODULY_CBA!$B$3:$F$23,5,0),)</f>
        <v>330.99</v>
      </c>
      <c r="Q398" s="478" t="str">
        <f>IFERROR(VLOOKUP(G398,MODULY_CBA!$B$3:$I$23,6,0),"")</f>
        <v>Inkrement 2</v>
      </c>
    </row>
    <row r="399" spans="1:17" ht="25.5">
      <c r="A399" s="401">
        <v>397</v>
      </c>
      <c r="B399" s="401" t="s">
        <v>475</v>
      </c>
      <c r="C399" s="530" t="s">
        <v>817</v>
      </c>
      <c r="D399" s="530" t="s">
        <v>877</v>
      </c>
      <c r="E399" s="530"/>
      <c r="F399" s="389" t="s">
        <v>8</v>
      </c>
      <c r="G399" s="389" t="s">
        <v>258</v>
      </c>
      <c r="H399" s="379">
        <v>1</v>
      </c>
      <c r="I399" s="379">
        <v>10</v>
      </c>
      <c r="J399" s="379">
        <f t="shared" si="26"/>
        <v>1</v>
      </c>
      <c r="K399" s="379">
        <f t="shared" si="24"/>
        <v>10</v>
      </c>
      <c r="L399" s="643">
        <f>IFERROR(IF(B399="funkcna poziadavka",VLOOKUP(G399,MODULY_CBA!$B$3:$E$23,4,0)*H399/SUMIFS($H$3:$H$199,$G$3:$G$199,G399,$B$3:$B$199,B399),),)</f>
        <v>0</v>
      </c>
      <c r="M399" s="379">
        <f>IFERROR(IF(B399="Funkcna poziadavka",VLOOKUP(G399,MODULY_CBA!$B$3:$E$23,3,0),),)</f>
        <v>0.93499999999999994</v>
      </c>
      <c r="N399" s="379">
        <f>IFERROR(IF(B399="funkcna poziadavka",VLOOKUP(G399,MODULY_CBA!$B$3:$E$23,2,0),),)</f>
        <v>1.18</v>
      </c>
      <c r="O399" s="378">
        <f t="shared" si="25"/>
        <v>11.032999999999999</v>
      </c>
      <c r="P399" s="377">
        <f>IFERROR(O399*VLOOKUP(G399,MODULY_CBA!$B$3:$F$23,5,0),)</f>
        <v>330.99</v>
      </c>
      <c r="Q399" s="478" t="str">
        <f>IFERROR(VLOOKUP(G399,MODULY_CBA!$B$3:$I$23,6,0),"")</f>
        <v>Inkrement 2</v>
      </c>
    </row>
    <row r="400" spans="1:17" ht="25.5">
      <c r="A400" s="401">
        <v>398</v>
      </c>
      <c r="B400" s="401" t="s">
        <v>475</v>
      </c>
      <c r="C400" s="530" t="s">
        <v>817</v>
      </c>
      <c r="D400" s="530" t="s">
        <v>878</v>
      </c>
      <c r="E400" s="530"/>
      <c r="F400" s="389" t="s">
        <v>8</v>
      </c>
      <c r="G400" s="389" t="s">
        <v>258</v>
      </c>
      <c r="H400" s="379">
        <v>1</v>
      </c>
      <c r="I400" s="379">
        <v>10</v>
      </c>
      <c r="J400" s="379">
        <f t="shared" si="26"/>
        <v>1</v>
      </c>
      <c r="K400" s="379">
        <f t="shared" si="24"/>
        <v>10</v>
      </c>
      <c r="L400" s="643">
        <f>IFERROR(IF(B400="funkcna poziadavka",VLOOKUP(G400,MODULY_CBA!$B$3:$E$23,4,0)*H400/SUMIFS($H$3:$H$199,$G$3:$G$199,G400,$B$3:$B$199,B400),),)</f>
        <v>0</v>
      </c>
      <c r="M400" s="379">
        <f>IFERROR(IF(B400="Funkcna poziadavka",VLOOKUP(G400,MODULY_CBA!$B$3:$E$23,3,0),),)</f>
        <v>0.93499999999999994</v>
      </c>
      <c r="N400" s="379">
        <f>IFERROR(IF(B400="funkcna poziadavka",VLOOKUP(G400,MODULY_CBA!$B$3:$E$23,2,0),),)</f>
        <v>1.18</v>
      </c>
      <c r="O400" s="378">
        <f t="shared" si="25"/>
        <v>11.032999999999999</v>
      </c>
      <c r="P400" s="377">
        <f>IFERROR(O400*VLOOKUP(G400,MODULY_CBA!$B$3:$F$23,5,0),)</f>
        <v>330.99</v>
      </c>
      <c r="Q400" s="478" t="str">
        <f>IFERROR(VLOOKUP(G400,MODULY_CBA!$B$3:$I$23,6,0),"")</f>
        <v>Inkrement 2</v>
      </c>
    </row>
    <row r="401" spans="1:17" ht="25.5">
      <c r="A401" s="401">
        <v>399</v>
      </c>
      <c r="B401" s="401" t="s">
        <v>475</v>
      </c>
      <c r="C401" s="530" t="s">
        <v>817</v>
      </c>
      <c r="D401" s="530" t="s">
        <v>879</v>
      </c>
      <c r="E401" s="530"/>
      <c r="F401" s="389" t="s">
        <v>8</v>
      </c>
      <c r="G401" s="389" t="s">
        <v>258</v>
      </c>
      <c r="H401" s="379">
        <v>1</v>
      </c>
      <c r="I401" s="379">
        <v>15</v>
      </c>
      <c r="J401" s="379">
        <f t="shared" si="26"/>
        <v>1</v>
      </c>
      <c r="K401" s="379">
        <f t="shared" si="24"/>
        <v>15</v>
      </c>
      <c r="L401" s="643">
        <f>IFERROR(IF(B401="funkcna poziadavka",VLOOKUP(G401,MODULY_CBA!$B$3:$E$23,4,0)*H401/SUMIFS($H$3:$H$199,$G$3:$G$199,G401,$B$3:$B$199,B401),),)</f>
        <v>0</v>
      </c>
      <c r="M401" s="379">
        <f>IFERROR(IF(B401="Funkcna poziadavka",VLOOKUP(G401,MODULY_CBA!$B$3:$E$23,3,0),),)</f>
        <v>0.93499999999999994</v>
      </c>
      <c r="N401" s="379">
        <f>IFERROR(IF(B401="funkcna poziadavka",VLOOKUP(G401,MODULY_CBA!$B$3:$E$23,2,0),),)</f>
        <v>1.18</v>
      </c>
      <c r="O401" s="378">
        <f t="shared" si="25"/>
        <v>16.549499999999998</v>
      </c>
      <c r="P401" s="377">
        <f>IFERROR(O401*VLOOKUP(G401,MODULY_CBA!$B$3:$F$23,5,0),)</f>
        <v>496.48499999999996</v>
      </c>
      <c r="Q401" s="478" t="str">
        <f>IFERROR(VLOOKUP(G401,MODULY_CBA!$B$3:$I$23,6,0),"")</f>
        <v>Inkrement 2</v>
      </c>
    </row>
    <row r="402" spans="1:17" ht="25.5">
      <c r="A402" s="401">
        <v>400</v>
      </c>
      <c r="B402" s="401" t="s">
        <v>475</v>
      </c>
      <c r="C402" s="530" t="s">
        <v>817</v>
      </c>
      <c r="D402" s="530" t="s">
        <v>880</v>
      </c>
      <c r="E402" s="530"/>
      <c r="F402" s="389" t="s">
        <v>8</v>
      </c>
      <c r="G402" s="389" t="s">
        <v>258</v>
      </c>
      <c r="H402" s="379">
        <v>1</v>
      </c>
      <c r="I402" s="379">
        <v>10</v>
      </c>
      <c r="J402" s="379">
        <f t="shared" si="26"/>
        <v>1</v>
      </c>
      <c r="K402" s="379">
        <f t="shared" si="24"/>
        <v>10</v>
      </c>
      <c r="L402" s="643">
        <f>IFERROR(IF(B402="funkcna poziadavka",VLOOKUP(G402,MODULY_CBA!$B$3:$E$23,4,0)*H402/SUMIFS($H$3:$H$199,$G$3:$G$199,G402,$B$3:$B$199,B402),),)</f>
        <v>0</v>
      </c>
      <c r="M402" s="379">
        <f>IFERROR(IF(B402="Funkcna poziadavka",VLOOKUP(G402,MODULY_CBA!$B$3:$E$23,3,0),),)</f>
        <v>0.93499999999999994</v>
      </c>
      <c r="N402" s="379">
        <f>IFERROR(IF(B402="funkcna poziadavka",VLOOKUP(G402,MODULY_CBA!$B$3:$E$23,2,0),),)</f>
        <v>1.18</v>
      </c>
      <c r="O402" s="378">
        <f t="shared" si="25"/>
        <v>11.032999999999999</v>
      </c>
      <c r="P402" s="377">
        <f>IFERROR(O402*VLOOKUP(G402,MODULY_CBA!$B$3:$F$23,5,0),)</f>
        <v>330.99</v>
      </c>
      <c r="Q402" s="478" t="str">
        <f>IFERROR(VLOOKUP(G402,MODULY_CBA!$B$3:$I$23,6,0),"")</f>
        <v>Inkrement 2</v>
      </c>
    </row>
    <row r="403" spans="1:17">
      <c r="A403" s="401">
        <v>401</v>
      </c>
      <c r="B403" s="401" t="s">
        <v>475</v>
      </c>
      <c r="C403" s="530" t="s">
        <v>881</v>
      </c>
      <c r="D403" s="530" t="s">
        <v>882</v>
      </c>
      <c r="E403" s="530"/>
      <c r="F403" s="389" t="s">
        <v>8</v>
      </c>
      <c r="G403" s="389" t="s">
        <v>250</v>
      </c>
      <c r="H403" s="379">
        <v>1</v>
      </c>
      <c r="I403" s="379">
        <v>5</v>
      </c>
      <c r="J403" s="379">
        <f t="shared" si="26"/>
        <v>1</v>
      </c>
      <c r="K403" s="379">
        <f t="shared" si="24"/>
        <v>5</v>
      </c>
      <c r="L403" s="643">
        <f>IFERROR(IF(B403="funkcna poziadavka",VLOOKUP(G403,MODULY_CBA!$B$3:$E$23,4,0)*H403/SUMIFS($H$3:$H$199,$G$3:$G$199,G403,$B$3:$B$199,B403),),)</f>
        <v>0</v>
      </c>
      <c r="M403" s="379">
        <f>IFERROR(IF(B403="Funkcna poziadavka",VLOOKUP(G403,MODULY_CBA!$B$3:$E$23,3,0),),)</f>
        <v>0.93499999999999994</v>
      </c>
      <c r="N403" s="379">
        <f>IFERROR(IF(B403="funkcna poziadavka",VLOOKUP(G403,MODULY_CBA!$B$3:$E$23,2,0),),)</f>
        <v>1.18</v>
      </c>
      <c r="O403" s="378">
        <f t="shared" si="25"/>
        <v>5.5164999999999997</v>
      </c>
      <c r="P403" s="377">
        <f>IFERROR(O403*VLOOKUP(G403,MODULY_CBA!$B$3:$F$23,5,0),)</f>
        <v>165.495</v>
      </c>
      <c r="Q403" s="478" t="str">
        <f>IFERROR(VLOOKUP(G403,MODULY_CBA!$B$3:$I$23,6,0),"")</f>
        <v>Inkrement 4</v>
      </c>
    </row>
    <row r="404" spans="1:17">
      <c r="A404" s="401">
        <v>402</v>
      </c>
      <c r="B404" s="401" t="s">
        <v>475</v>
      </c>
      <c r="C404" s="530" t="s">
        <v>881</v>
      </c>
      <c r="D404" s="530" t="s">
        <v>883</v>
      </c>
      <c r="E404" s="530"/>
      <c r="F404" s="389" t="s">
        <v>8</v>
      </c>
      <c r="G404" s="389" t="s">
        <v>250</v>
      </c>
      <c r="H404" s="379">
        <v>1</v>
      </c>
      <c r="I404" s="379">
        <v>10</v>
      </c>
      <c r="J404" s="379">
        <f t="shared" si="26"/>
        <v>1</v>
      </c>
      <c r="K404" s="379">
        <f t="shared" si="24"/>
        <v>10</v>
      </c>
      <c r="L404" s="643">
        <f>IFERROR(IF(B404="funkcna poziadavka",VLOOKUP(G404,MODULY_CBA!$B$3:$E$23,4,0)*H404/SUMIFS($H$3:$H$199,$G$3:$G$199,G404,$B$3:$B$199,B404),),)</f>
        <v>0</v>
      </c>
      <c r="M404" s="379">
        <f>IFERROR(IF(B404="Funkcna poziadavka",VLOOKUP(G404,MODULY_CBA!$B$3:$E$23,3,0),),)</f>
        <v>0.93499999999999994</v>
      </c>
      <c r="N404" s="379">
        <f>IFERROR(IF(B404="funkcna poziadavka",VLOOKUP(G404,MODULY_CBA!$B$3:$E$23,2,0),),)</f>
        <v>1.18</v>
      </c>
      <c r="O404" s="378">
        <f t="shared" si="25"/>
        <v>11.032999999999999</v>
      </c>
      <c r="P404" s="377">
        <f>IFERROR(O404*VLOOKUP(G404,MODULY_CBA!$B$3:$F$23,5,0),)</f>
        <v>330.99</v>
      </c>
      <c r="Q404" s="478" t="str">
        <f>IFERROR(VLOOKUP(G404,MODULY_CBA!$B$3:$I$23,6,0),"")</f>
        <v>Inkrement 4</v>
      </c>
    </row>
    <row r="405" spans="1:17">
      <c r="A405" s="401">
        <v>403</v>
      </c>
      <c r="B405" s="401" t="s">
        <v>475</v>
      </c>
      <c r="C405" s="530" t="s">
        <v>881</v>
      </c>
      <c r="D405" s="530" t="s">
        <v>884</v>
      </c>
      <c r="E405" s="530"/>
      <c r="F405" s="389" t="s">
        <v>8</v>
      </c>
      <c r="G405" s="389" t="s">
        <v>250</v>
      </c>
      <c r="H405" s="379">
        <v>1</v>
      </c>
      <c r="I405" s="379">
        <v>10</v>
      </c>
      <c r="J405" s="379">
        <f t="shared" si="26"/>
        <v>1</v>
      </c>
      <c r="K405" s="379">
        <f t="shared" si="24"/>
        <v>10</v>
      </c>
      <c r="L405" s="643">
        <f>IFERROR(IF(B405="funkcna poziadavka",VLOOKUP(G405,MODULY_CBA!$B$3:$E$23,4,0)*H405/SUMIFS($H$3:$H$199,$G$3:$G$199,G405,$B$3:$B$199,B405),),)</f>
        <v>0</v>
      </c>
      <c r="M405" s="379">
        <f>IFERROR(IF(B405="Funkcna poziadavka",VLOOKUP(G405,MODULY_CBA!$B$3:$E$23,3,0),),)</f>
        <v>0.93499999999999994</v>
      </c>
      <c r="N405" s="379">
        <f>IFERROR(IF(B405="funkcna poziadavka",VLOOKUP(G405,MODULY_CBA!$B$3:$E$23,2,0),),)</f>
        <v>1.18</v>
      </c>
      <c r="O405" s="378">
        <f t="shared" si="25"/>
        <v>11.032999999999999</v>
      </c>
      <c r="P405" s="377">
        <f>IFERROR(O405*VLOOKUP(G405,MODULY_CBA!$B$3:$F$23,5,0),)</f>
        <v>330.99</v>
      </c>
      <c r="Q405" s="478" t="str">
        <f>IFERROR(VLOOKUP(G405,MODULY_CBA!$B$3:$I$23,6,0),"")</f>
        <v>Inkrement 4</v>
      </c>
    </row>
    <row r="406" spans="1:17">
      <c r="A406" s="401">
        <v>404</v>
      </c>
      <c r="B406" s="401" t="s">
        <v>475</v>
      </c>
      <c r="C406" s="530" t="s">
        <v>881</v>
      </c>
      <c r="D406" s="530" t="s">
        <v>885</v>
      </c>
      <c r="E406" s="530"/>
      <c r="F406" s="389" t="s">
        <v>8</v>
      </c>
      <c r="G406" s="389" t="s">
        <v>250</v>
      </c>
      <c r="H406" s="379">
        <v>1</v>
      </c>
      <c r="I406" s="379">
        <v>10</v>
      </c>
      <c r="J406" s="379">
        <f t="shared" si="26"/>
        <v>1</v>
      </c>
      <c r="K406" s="379">
        <f t="shared" si="24"/>
        <v>10</v>
      </c>
      <c r="L406" s="643">
        <f>IFERROR(IF(B406="funkcna poziadavka",VLOOKUP(G406,MODULY_CBA!$B$3:$E$23,4,0)*H406/SUMIFS($H$3:$H$199,$G$3:$G$199,G406,$B$3:$B$199,B406),),)</f>
        <v>0</v>
      </c>
      <c r="M406" s="379">
        <f>IFERROR(IF(B406="Funkcna poziadavka",VLOOKUP(G406,MODULY_CBA!$B$3:$E$23,3,0),),)</f>
        <v>0.93499999999999994</v>
      </c>
      <c r="N406" s="379">
        <f>IFERROR(IF(B406="funkcna poziadavka",VLOOKUP(G406,MODULY_CBA!$B$3:$E$23,2,0),),)</f>
        <v>1.18</v>
      </c>
      <c r="O406" s="378">
        <f t="shared" si="25"/>
        <v>11.032999999999999</v>
      </c>
      <c r="P406" s="377">
        <f>IFERROR(O406*VLOOKUP(G406,MODULY_CBA!$B$3:$F$23,5,0),)</f>
        <v>330.99</v>
      </c>
      <c r="Q406" s="478" t="str">
        <f>IFERROR(VLOOKUP(G406,MODULY_CBA!$B$3:$I$23,6,0),"")</f>
        <v>Inkrement 4</v>
      </c>
    </row>
    <row r="407" spans="1:17">
      <c r="A407" s="401">
        <v>405</v>
      </c>
      <c r="B407" s="401" t="s">
        <v>475</v>
      </c>
      <c r="C407" s="530" t="s">
        <v>881</v>
      </c>
      <c r="D407" s="530" t="s">
        <v>886</v>
      </c>
      <c r="E407" s="530"/>
      <c r="F407" s="389" t="s">
        <v>8</v>
      </c>
      <c r="G407" s="389" t="s">
        <v>250</v>
      </c>
      <c r="H407" s="379">
        <v>1</v>
      </c>
      <c r="I407" s="379">
        <v>10</v>
      </c>
      <c r="J407" s="379">
        <f t="shared" si="26"/>
        <v>1</v>
      </c>
      <c r="K407" s="379">
        <f t="shared" si="24"/>
        <v>10</v>
      </c>
      <c r="L407" s="643">
        <f>IFERROR(IF(B407="funkcna poziadavka",VLOOKUP(G407,MODULY_CBA!$B$3:$E$23,4,0)*H407/SUMIFS($H$3:$H$199,$G$3:$G$199,G407,$B$3:$B$199,B407),),)</f>
        <v>0</v>
      </c>
      <c r="M407" s="379">
        <f>IFERROR(IF(B407="Funkcna poziadavka",VLOOKUP(G407,MODULY_CBA!$B$3:$E$23,3,0),),)</f>
        <v>0.93499999999999994</v>
      </c>
      <c r="N407" s="379">
        <f>IFERROR(IF(B407="funkcna poziadavka",VLOOKUP(G407,MODULY_CBA!$B$3:$E$23,2,0),),)</f>
        <v>1.18</v>
      </c>
      <c r="O407" s="378">
        <f t="shared" si="25"/>
        <v>11.032999999999999</v>
      </c>
      <c r="P407" s="377">
        <f>IFERROR(O407*VLOOKUP(G407,MODULY_CBA!$B$3:$F$23,5,0),)</f>
        <v>330.99</v>
      </c>
      <c r="Q407" s="478" t="str">
        <f>IFERROR(VLOOKUP(G407,MODULY_CBA!$B$3:$I$23,6,0),"")</f>
        <v>Inkrement 4</v>
      </c>
    </row>
    <row r="408" spans="1:17">
      <c r="A408" s="401">
        <v>406</v>
      </c>
      <c r="B408" s="401" t="s">
        <v>475</v>
      </c>
      <c r="C408" s="530" t="s">
        <v>881</v>
      </c>
      <c r="D408" s="530" t="s">
        <v>876</v>
      </c>
      <c r="E408" s="530"/>
      <c r="F408" s="389" t="s">
        <v>8</v>
      </c>
      <c r="G408" s="389" t="s">
        <v>250</v>
      </c>
      <c r="H408" s="379">
        <v>1</v>
      </c>
      <c r="I408" s="379">
        <v>10</v>
      </c>
      <c r="J408" s="379">
        <f t="shared" si="26"/>
        <v>1</v>
      </c>
      <c r="K408" s="379">
        <f t="shared" si="24"/>
        <v>10</v>
      </c>
      <c r="L408" s="643">
        <f>IFERROR(IF(B408="funkcna poziadavka",VLOOKUP(G408,MODULY_CBA!$B$3:$E$23,4,0)*H408/SUMIFS($H$3:$H$199,$G$3:$G$199,G408,$B$3:$B$199,B408),),)</f>
        <v>0</v>
      </c>
      <c r="M408" s="379">
        <f>IFERROR(IF(B408="Funkcna poziadavka",VLOOKUP(G408,MODULY_CBA!$B$3:$E$23,3,0),),)</f>
        <v>0.93499999999999994</v>
      </c>
      <c r="N408" s="379">
        <f>IFERROR(IF(B408="funkcna poziadavka",VLOOKUP(G408,MODULY_CBA!$B$3:$E$23,2,0),),)</f>
        <v>1.18</v>
      </c>
      <c r="O408" s="378">
        <f t="shared" si="25"/>
        <v>11.032999999999999</v>
      </c>
      <c r="P408" s="377">
        <f>IFERROR(O408*VLOOKUP(G408,MODULY_CBA!$B$3:$F$23,5,0),)</f>
        <v>330.99</v>
      </c>
      <c r="Q408" s="478" t="str">
        <f>IFERROR(VLOOKUP(G408,MODULY_CBA!$B$3:$I$23,6,0),"")</f>
        <v>Inkrement 4</v>
      </c>
    </row>
    <row r="409" spans="1:17">
      <c r="A409" s="401">
        <v>407</v>
      </c>
      <c r="B409" s="401" t="s">
        <v>475</v>
      </c>
      <c r="C409" s="530" t="s">
        <v>881</v>
      </c>
      <c r="D409" s="530" t="s">
        <v>877</v>
      </c>
      <c r="E409" s="530"/>
      <c r="F409" s="389" t="s">
        <v>8</v>
      </c>
      <c r="G409" s="389" t="s">
        <v>250</v>
      </c>
      <c r="H409" s="379">
        <v>1</v>
      </c>
      <c r="I409" s="379">
        <v>10</v>
      </c>
      <c r="J409" s="379">
        <f t="shared" si="26"/>
        <v>1</v>
      </c>
      <c r="K409" s="379">
        <f t="shared" si="24"/>
        <v>10</v>
      </c>
      <c r="L409" s="643">
        <f>IFERROR(IF(B409="funkcna poziadavka",VLOOKUP(G409,MODULY_CBA!$B$3:$E$23,4,0)*H409/SUMIFS($H$3:$H$199,$G$3:$G$199,G409,$B$3:$B$199,B409),),)</f>
        <v>0</v>
      </c>
      <c r="M409" s="379">
        <f>IFERROR(IF(B409="Funkcna poziadavka",VLOOKUP(G409,MODULY_CBA!$B$3:$E$23,3,0),),)</f>
        <v>0.93499999999999994</v>
      </c>
      <c r="N409" s="379">
        <f>IFERROR(IF(B409="funkcna poziadavka",VLOOKUP(G409,MODULY_CBA!$B$3:$E$23,2,0),),)</f>
        <v>1.18</v>
      </c>
      <c r="O409" s="378">
        <f t="shared" si="25"/>
        <v>11.032999999999999</v>
      </c>
      <c r="P409" s="377">
        <f>IFERROR(O409*VLOOKUP(G409,MODULY_CBA!$B$3:$F$23,5,0),)</f>
        <v>330.99</v>
      </c>
      <c r="Q409" s="478" t="str">
        <f>IFERROR(VLOOKUP(G409,MODULY_CBA!$B$3:$I$23,6,0),"")</f>
        <v>Inkrement 4</v>
      </c>
    </row>
    <row r="410" spans="1:17">
      <c r="A410" s="401">
        <v>408</v>
      </c>
      <c r="B410" s="401" t="s">
        <v>475</v>
      </c>
      <c r="C410" s="530" t="s">
        <v>881</v>
      </c>
      <c r="D410" s="530" t="s">
        <v>878</v>
      </c>
      <c r="E410" s="530"/>
      <c r="F410" s="389" t="s">
        <v>8</v>
      </c>
      <c r="G410" s="389" t="s">
        <v>250</v>
      </c>
      <c r="H410" s="379">
        <v>1</v>
      </c>
      <c r="I410" s="379">
        <v>10</v>
      </c>
      <c r="J410" s="379">
        <f t="shared" si="26"/>
        <v>1</v>
      </c>
      <c r="K410" s="379">
        <f t="shared" si="24"/>
        <v>10</v>
      </c>
      <c r="L410" s="643">
        <f>IFERROR(IF(B410="funkcna poziadavka",VLOOKUP(G410,MODULY_CBA!$B$3:$E$23,4,0)*H410/SUMIFS($H$3:$H$199,$G$3:$G$199,G410,$B$3:$B$199,B410),),)</f>
        <v>0</v>
      </c>
      <c r="M410" s="379">
        <f>IFERROR(IF(B410="Funkcna poziadavka",VLOOKUP(G410,MODULY_CBA!$B$3:$E$23,3,0),),)</f>
        <v>0.93499999999999994</v>
      </c>
      <c r="N410" s="379">
        <f>IFERROR(IF(B410="funkcna poziadavka",VLOOKUP(G410,MODULY_CBA!$B$3:$E$23,2,0),),)</f>
        <v>1.18</v>
      </c>
      <c r="O410" s="378">
        <f t="shared" si="25"/>
        <v>11.032999999999999</v>
      </c>
      <c r="P410" s="377">
        <f>IFERROR(O410*VLOOKUP(G410,MODULY_CBA!$B$3:$F$23,5,0),)</f>
        <v>330.99</v>
      </c>
      <c r="Q410" s="478" t="str">
        <f>IFERROR(VLOOKUP(G410,MODULY_CBA!$B$3:$I$23,6,0),"")</f>
        <v>Inkrement 4</v>
      </c>
    </row>
    <row r="411" spans="1:17">
      <c r="A411" s="401">
        <v>409</v>
      </c>
      <c r="B411" s="401" t="s">
        <v>475</v>
      </c>
      <c r="C411" s="530" t="s">
        <v>881</v>
      </c>
      <c r="D411" s="530" t="s">
        <v>879</v>
      </c>
      <c r="E411" s="530"/>
      <c r="F411" s="389" t="s">
        <v>8</v>
      </c>
      <c r="G411" s="389" t="s">
        <v>250</v>
      </c>
      <c r="H411" s="379">
        <v>1</v>
      </c>
      <c r="I411" s="379">
        <v>15</v>
      </c>
      <c r="J411" s="379">
        <f t="shared" si="26"/>
        <v>1</v>
      </c>
      <c r="K411" s="379">
        <f t="shared" si="24"/>
        <v>15</v>
      </c>
      <c r="L411" s="643">
        <f>IFERROR(IF(B411="funkcna poziadavka",VLOOKUP(G411,MODULY_CBA!$B$3:$E$23,4,0)*H411/SUMIFS($H$3:$H$199,$G$3:$G$199,G411,$B$3:$B$199,B411),),)</f>
        <v>0</v>
      </c>
      <c r="M411" s="379">
        <f>IFERROR(IF(B411="Funkcna poziadavka",VLOOKUP(G411,MODULY_CBA!$B$3:$E$23,3,0),),)</f>
        <v>0.93499999999999994</v>
      </c>
      <c r="N411" s="379">
        <f>IFERROR(IF(B411="funkcna poziadavka",VLOOKUP(G411,MODULY_CBA!$B$3:$E$23,2,0),),)</f>
        <v>1.18</v>
      </c>
      <c r="O411" s="378">
        <f t="shared" si="25"/>
        <v>16.549499999999998</v>
      </c>
      <c r="P411" s="377">
        <f>IFERROR(O411*VLOOKUP(G411,MODULY_CBA!$B$3:$F$23,5,0),)</f>
        <v>496.48499999999996</v>
      </c>
      <c r="Q411" s="478" t="str">
        <f>IFERROR(VLOOKUP(G411,MODULY_CBA!$B$3:$I$23,6,0),"")</f>
        <v>Inkrement 4</v>
      </c>
    </row>
    <row r="412" spans="1:17">
      <c r="A412" s="401">
        <v>410</v>
      </c>
      <c r="B412" s="401" t="s">
        <v>475</v>
      </c>
      <c r="C412" s="530" t="s">
        <v>881</v>
      </c>
      <c r="D412" s="530" t="s">
        <v>880</v>
      </c>
      <c r="E412" s="530"/>
      <c r="F412" s="389" t="s">
        <v>8</v>
      </c>
      <c r="G412" s="389" t="s">
        <v>250</v>
      </c>
      <c r="H412" s="379">
        <v>1</v>
      </c>
      <c r="I412" s="379">
        <v>10</v>
      </c>
      <c r="J412" s="379">
        <f t="shared" si="26"/>
        <v>1</v>
      </c>
      <c r="K412" s="379">
        <f t="shared" si="24"/>
        <v>10</v>
      </c>
      <c r="L412" s="643">
        <f>IFERROR(IF(B412="funkcna poziadavka",VLOOKUP(G412,MODULY_CBA!$B$3:$E$23,4,0)*H412/SUMIFS($H$3:$H$199,$G$3:$G$199,G412,$B$3:$B$199,B412),),)</f>
        <v>0</v>
      </c>
      <c r="M412" s="379">
        <f>IFERROR(IF(B412="Funkcna poziadavka",VLOOKUP(G412,MODULY_CBA!$B$3:$E$23,3,0),),)</f>
        <v>0.93499999999999994</v>
      </c>
      <c r="N412" s="379">
        <f>IFERROR(IF(B412="funkcna poziadavka",VLOOKUP(G412,MODULY_CBA!$B$3:$E$23,2,0),),)</f>
        <v>1.18</v>
      </c>
      <c r="O412" s="378">
        <f t="shared" si="25"/>
        <v>11.032999999999999</v>
      </c>
      <c r="P412" s="377">
        <f>IFERROR(O412*VLOOKUP(G412,MODULY_CBA!$B$3:$F$23,5,0),)</f>
        <v>330.99</v>
      </c>
      <c r="Q412" s="478" t="str">
        <f>IFERROR(VLOOKUP(G412,MODULY_CBA!$B$3:$I$23,6,0),"")</f>
        <v>Inkrement 4</v>
      </c>
    </row>
    <row r="413" spans="1:17">
      <c r="A413" s="401">
        <v>411</v>
      </c>
      <c r="B413" s="401" t="s">
        <v>475</v>
      </c>
      <c r="C413" s="530" t="s">
        <v>253</v>
      </c>
      <c r="D413" s="530" t="s">
        <v>887</v>
      </c>
      <c r="E413" s="530"/>
      <c r="F413" s="389" t="s">
        <v>8</v>
      </c>
      <c r="G413" s="389" t="s">
        <v>253</v>
      </c>
      <c r="H413" s="379">
        <v>1</v>
      </c>
      <c r="I413" s="379">
        <v>5</v>
      </c>
      <c r="J413" s="379">
        <f t="shared" si="26"/>
        <v>1</v>
      </c>
      <c r="K413" s="379">
        <f t="shared" si="24"/>
        <v>5</v>
      </c>
      <c r="L413" s="643">
        <f>IFERROR(IF(B413="funkcna poziadavka",VLOOKUP(G413,MODULY_CBA!$B$3:$E$23,4,0)*H413/SUMIFS($H$3:$H$199,$G$3:$G$199,G413,$B$3:$B$199,B413),),)</f>
        <v>0</v>
      </c>
      <c r="M413" s="379">
        <f>IFERROR(IF(B413="Funkcna poziadavka",VLOOKUP(G413,MODULY_CBA!$B$3:$E$23,3,0),),)</f>
        <v>0.93499999999999994</v>
      </c>
      <c r="N413" s="379">
        <f>IFERROR(IF(B413="funkcna poziadavka",VLOOKUP(G413,MODULY_CBA!$B$3:$E$23,2,0),),)</f>
        <v>1.18</v>
      </c>
      <c r="O413" s="378">
        <f t="shared" si="25"/>
        <v>5.5164999999999997</v>
      </c>
      <c r="P413" s="377">
        <f>IFERROR(O413*VLOOKUP(G413,MODULY_CBA!$B$3:$F$23,5,0),)</f>
        <v>165.495</v>
      </c>
      <c r="Q413" s="478" t="str">
        <f>IFERROR(VLOOKUP(G413,MODULY_CBA!$B$3:$I$23,6,0),"")</f>
        <v>Inkrement 1</v>
      </c>
    </row>
    <row r="414" spans="1:17">
      <c r="A414" s="401">
        <v>412</v>
      </c>
      <c r="B414" s="401" t="s">
        <v>475</v>
      </c>
      <c r="C414" s="530" t="s">
        <v>253</v>
      </c>
      <c r="D414" s="530" t="s">
        <v>888</v>
      </c>
      <c r="E414" s="530"/>
      <c r="F414" s="389" t="s">
        <v>8</v>
      </c>
      <c r="G414" s="389" t="s">
        <v>253</v>
      </c>
      <c r="H414" s="379">
        <v>1</v>
      </c>
      <c r="I414" s="379">
        <v>5</v>
      </c>
      <c r="J414" s="379">
        <f t="shared" si="26"/>
        <v>1</v>
      </c>
      <c r="K414" s="379">
        <f t="shared" si="24"/>
        <v>5</v>
      </c>
      <c r="L414" s="643">
        <f>IFERROR(IF(B414="funkcna poziadavka",VLOOKUP(G414,MODULY_CBA!$B$3:$E$23,4,0)*H414/SUMIFS($H$3:$H$199,$G$3:$G$199,G414,$B$3:$B$199,B414),),)</f>
        <v>0</v>
      </c>
      <c r="M414" s="379">
        <f>IFERROR(IF(B414="Funkcna poziadavka",VLOOKUP(G414,MODULY_CBA!$B$3:$E$23,3,0),),)</f>
        <v>0.93499999999999994</v>
      </c>
      <c r="N414" s="379">
        <f>IFERROR(IF(B414="funkcna poziadavka",VLOOKUP(G414,MODULY_CBA!$B$3:$E$23,2,0),),)</f>
        <v>1.18</v>
      </c>
      <c r="O414" s="378">
        <f t="shared" si="25"/>
        <v>5.5164999999999997</v>
      </c>
      <c r="P414" s="377">
        <f>IFERROR(O414*VLOOKUP(G414,MODULY_CBA!$B$3:$F$23,5,0),)</f>
        <v>165.495</v>
      </c>
      <c r="Q414" s="478" t="str">
        <f>IFERROR(VLOOKUP(G414,MODULY_CBA!$B$3:$I$23,6,0),"")</f>
        <v>Inkrement 1</v>
      </c>
    </row>
    <row r="415" spans="1:17">
      <c r="A415" s="401">
        <v>413</v>
      </c>
      <c r="B415" s="401" t="s">
        <v>475</v>
      </c>
      <c r="C415" s="530" t="s">
        <v>253</v>
      </c>
      <c r="D415" s="530" t="s">
        <v>889</v>
      </c>
      <c r="E415" s="530"/>
      <c r="F415" s="389" t="s">
        <v>8</v>
      </c>
      <c r="G415" s="389" t="s">
        <v>253</v>
      </c>
      <c r="H415" s="379">
        <v>1</v>
      </c>
      <c r="I415" s="379">
        <v>5</v>
      </c>
      <c r="J415" s="379">
        <f t="shared" si="26"/>
        <v>1</v>
      </c>
      <c r="K415" s="379">
        <f t="shared" si="24"/>
        <v>5</v>
      </c>
      <c r="L415" s="643">
        <f>IFERROR(IF(B415="funkcna poziadavka",VLOOKUP(G415,MODULY_CBA!$B$3:$E$23,4,0)*H415/SUMIFS($H$3:$H$199,$G$3:$G$199,G415,$B$3:$B$199,B415),),)</f>
        <v>0</v>
      </c>
      <c r="M415" s="379">
        <f>IFERROR(IF(B415="Funkcna poziadavka",VLOOKUP(G415,MODULY_CBA!$B$3:$E$23,3,0),),)</f>
        <v>0.93499999999999994</v>
      </c>
      <c r="N415" s="379">
        <f>IFERROR(IF(B415="funkcna poziadavka",VLOOKUP(G415,MODULY_CBA!$B$3:$E$23,2,0),),)</f>
        <v>1.18</v>
      </c>
      <c r="O415" s="378">
        <f t="shared" si="25"/>
        <v>5.5164999999999997</v>
      </c>
      <c r="P415" s="377">
        <f>IFERROR(O415*VLOOKUP(G415,MODULY_CBA!$B$3:$F$23,5,0),)</f>
        <v>165.495</v>
      </c>
      <c r="Q415" s="478" t="str">
        <f>IFERROR(VLOOKUP(G415,MODULY_CBA!$B$3:$I$23,6,0),"")</f>
        <v>Inkrement 1</v>
      </c>
    </row>
    <row r="416" spans="1:17">
      <c r="A416" s="401">
        <v>414</v>
      </c>
      <c r="B416" s="401" t="s">
        <v>475</v>
      </c>
      <c r="C416" s="530" t="s">
        <v>253</v>
      </c>
      <c r="D416" s="530" t="s">
        <v>890</v>
      </c>
      <c r="E416" s="530"/>
      <c r="F416" s="389" t="s">
        <v>8</v>
      </c>
      <c r="G416" s="389" t="s">
        <v>253</v>
      </c>
      <c r="H416" s="379">
        <v>1</v>
      </c>
      <c r="I416" s="379">
        <v>5</v>
      </c>
      <c r="J416" s="379">
        <f t="shared" si="26"/>
        <v>1</v>
      </c>
      <c r="K416" s="379">
        <f t="shared" si="24"/>
        <v>5</v>
      </c>
      <c r="L416" s="643">
        <f>IFERROR(IF(B416="funkcna poziadavka",VLOOKUP(G416,MODULY_CBA!$B$3:$E$23,4,0)*H416/SUMIFS($H$3:$H$199,$G$3:$G$199,G416,$B$3:$B$199,B416),),)</f>
        <v>0</v>
      </c>
      <c r="M416" s="379">
        <f>IFERROR(IF(B416="Funkcna poziadavka",VLOOKUP(G416,MODULY_CBA!$B$3:$E$23,3,0),),)</f>
        <v>0.93499999999999994</v>
      </c>
      <c r="N416" s="379">
        <f>IFERROR(IF(B416="funkcna poziadavka",VLOOKUP(G416,MODULY_CBA!$B$3:$E$23,2,0),),)</f>
        <v>1.18</v>
      </c>
      <c r="O416" s="378">
        <f t="shared" si="25"/>
        <v>5.5164999999999997</v>
      </c>
      <c r="P416" s="377">
        <f>IFERROR(O416*VLOOKUP(G416,MODULY_CBA!$B$3:$F$23,5,0),)</f>
        <v>165.495</v>
      </c>
      <c r="Q416" s="478" t="str">
        <f>IFERROR(VLOOKUP(G416,MODULY_CBA!$B$3:$I$23,6,0),"")</f>
        <v>Inkrement 1</v>
      </c>
    </row>
    <row r="417" spans="1:17">
      <c r="A417" s="401">
        <v>415</v>
      </c>
      <c r="B417" s="401" t="s">
        <v>475</v>
      </c>
      <c r="C417" s="530" t="s">
        <v>248</v>
      </c>
      <c r="D417" s="530" t="s">
        <v>891</v>
      </c>
      <c r="E417" s="530"/>
      <c r="F417" s="389" t="s">
        <v>8</v>
      </c>
      <c r="G417" s="389" t="s">
        <v>248</v>
      </c>
      <c r="H417" s="379">
        <v>1</v>
      </c>
      <c r="I417" s="379">
        <v>15</v>
      </c>
      <c r="J417" s="379">
        <f t="shared" si="26"/>
        <v>1</v>
      </c>
      <c r="K417" s="379">
        <f t="shared" si="24"/>
        <v>15</v>
      </c>
      <c r="L417" s="643">
        <f>IFERROR(IF(B417="funkcna poziadavka",VLOOKUP(G417,MODULY_CBA!$B$3:$E$23,4,0)*H417/SUMIFS($H$3:$H$199,$G$3:$G$199,G417,$B$3:$B$199,B417),),)</f>
        <v>0</v>
      </c>
      <c r="M417" s="379">
        <f>IFERROR(IF(B417="Funkcna poziadavka",VLOOKUP(G417,MODULY_CBA!$B$3:$E$23,3,0),),)</f>
        <v>0.93499999999999994</v>
      </c>
      <c r="N417" s="379">
        <f>IFERROR(IF(B417="funkcna poziadavka",VLOOKUP(G417,MODULY_CBA!$B$3:$E$23,2,0),),)</f>
        <v>1.18</v>
      </c>
      <c r="O417" s="378">
        <f t="shared" si="25"/>
        <v>16.549499999999998</v>
      </c>
      <c r="P417" s="377">
        <f>IFERROR(O417*VLOOKUP(G417,MODULY_CBA!$B$3:$F$23,5,0),)</f>
        <v>496.48499999999996</v>
      </c>
      <c r="Q417" s="478" t="str">
        <f>IFERROR(VLOOKUP(G417,MODULY_CBA!$B$3:$I$23,6,0),"")</f>
        <v>Inkrement 1</v>
      </c>
    </row>
    <row r="418" spans="1:17">
      <c r="A418" s="401">
        <v>416</v>
      </c>
      <c r="B418" s="401" t="s">
        <v>475</v>
      </c>
      <c r="C418" s="530" t="s">
        <v>248</v>
      </c>
      <c r="D418" s="530" t="s">
        <v>892</v>
      </c>
      <c r="E418" s="530"/>
      <c r="F418" s="389" t="s">
        <v>8</v>
      </c>
      <c r="G418" s="389" t="s">
        <v>248</v>
      </c>
      <c r="H418" s="379">
        <v>1</v>
      </c>
      <c r="I418" s="379">
        <v>15</v>
      </c>
      <c r="J418" s="379">
        <f t="shared" si="26"/>
        <v>1</v>
      </c>
      <c r="K418" s="379">
        <f t="shared" si="24"/>
        <v>15</v>
      </c>
      <c r="L418" s="643">
        <f>IFERROR(IF(B418="funkcna poziadavka",VLOOKUP(G418,MODULY_CBA!$B$3:$E$23,4,0)*H418/SUMIFS($H$3:$H$199,$G$3:$G$199,G418,$B$3:$B$199,B418),),)</f>
        <v>0</v>
      </c>
      <c r="M418" s="379">
        <f>IFERROR(IF(B418="Funkcna poziadavka",VLOOKUP(G418,MODULY_CBA!$B$3:$E$23,3,0),),)</f>
        <v>0.93499999999999994</v>
      </c>
      <c r="N418" s="379">
        <f>IFERROR(IF(B418="funkcna poziadavka",VLOOKUP(G418,MODULY_CBA!$B$3:$E$23,2,0),),)</f>
        <v>1.18</v>
      </c>
      <c r="O418" s="378">
        <f t="shared" si="25"/>
        <v>16.549499999999998</v>
      </c>
      <c r="P418" s="377">
        <f>IFERROR(O418*VLOOKUP(G418,MODULY_CBA!$B$3:$F$23,5,0),)</f>
        <v>496.48499999999996</v>
      </c>
      <c r="Q418" s="478" t="str">
        <f>IFERROR(VLOOKUP(G418,MODULY_CBA!$B$3:$I$23,6,0),"")</f>
        <v>Inkrement 1</v>
      </c>
    </row>
    <row r="419" spans="1:17">
      <c r="A419" s="401">
        <v>417</v>
      </c>
      <c r="B419" s="401" t="s">
        <v>475</v>
      </c>
      <c r="C419" s="530" t="s">
        <v>248</v>
      </c>
      <c r="D419" s="530" t="s">
        <v>893</v>
      </c>
      <c r="E419" s="530"/>
      <c r="F419" s="389" t="s">
        <v>8</v>
      </c>
      <c r="G419" s="389" t="s">
        <v>248</v>
      </c>
      <c r="H419" s="379">
        <v>1</v>
      </c>
      <c r="I419" s="379">
        <v>15</v>
      </c>
      <c r="J419" s="379">
        <f t="shared" si="26"/>
        <v>1</v>
      </c>
      <c r="K419" s="379">
        <f t="shared" si="24"/>
        <v>15</v>
      </c>
      <c r="L419" s="643">
        <f>IFERROR(IF(B419="funkcna poziadavka",VLOOKUP(G419,MODULY_CBA!$B$3:$E$23,4,0)*H419/SUMIFS($H$3:$H$199,$G$3:$G$199,G419,$B$3:$B$199,B419),),)</f>
        <v>0</v>
      </c>
      <c r="M419" s="379">
        <f>IFERROR(IF(B419="Funkcna poziadavka",VLOOKUP(G419,MODULY_CBA!$B$3:$E$23,3,0),),)</f>
        <v>0.93499999999999994</v>
      </c>
      <c r="N419" s="379">
        <f>IFERROR(IF(B419="funkcna poziadavka",VLOOKUP(G419,MODULY_CBA!$B$3:$E$23,2,0),),)</f>
        <v>1.18</v>
      </c>
      <c r="O419" s="378">
        <f t="shared" si="25"/>
        <v>16.549499999999998</v>
      </c>
      <c r="P419" s="377">
        <f>IFERROR(O419*VLOOKUP(G419,MODULY_CBA!$B$3:$F$23,5,0),)</f>
        <v>496.48499999999996</v>
      </c>
      <c r="Q419" s="478" t="str">
        <f>IFERROR(VLOOKUP(G419,MODULY_CBA!$B$3:$I$23,6,0),"")</f>
        <v>Inkrement 1</v>
      </c>
    </row>
    <row r="420" spans="1:17">
      <c r="A420" s="401">
        <v>418</v>
      </c>
      <c r="B420" s="401" t="s">
        <v>475</v>
      </c>
      <c r="C420" s="530" t="s">
        <v>248</v>
      </c>
      <c r="D420" s="530" t="s">
        <v>894</v>
      </c>
      <c r="E420" s="530"/>
      <c r="F420" s="389" t="s">
        <v>8</v>
      </c>
      <c r="G420" s="389" t="s">
        <v>248</v>
      </c>
      <c r="H420" s="379">
        <v>1</v>
      </c>
      <c r="I420" s="379">
        <v>15</v>
      </c>
      <c r="J420" s="379">
        <f t="shared" si="26"/>
        <v>1</v>
      </c>
      <c r="K420" s="379">
        <f t="shared" si="24"/>
        <v>15</v>
      </c>
      <c r="L420" s="643">
        <f>IFERROR(IF(B420="funkcna poziadavka",VLOOKUP(G420,MODULY_CBA!$B$3:$E$23,4,0)*H420/SUMIFS($H$3:$H$199,$G$3:$G$199,G420,$B$3:$B$199,B420),),)</f>
        <v>0</v>
      </c>
      <c r="M420" s="379">
        <f>IFERROR(IF(B420="Funkcna poziadavka",VLOOKUP(G420,MODULY_CBA!$B$3:$E$23,3,0),),)</f>
        <v>0.93499999999999994</v>
      </c>
      <c r="N420" s="379">
        <f>IFERROR(IF(B420="funkcna poziadavka",VLOOKUP(G420,MODULY_CBA!$B$3:$E$23,2,0),),)</f>
        <v>1.18</v>
      </c>
      <c r="O420" s="378">
        <f t="shared" si="25"/>
        <v>16.549499999999998</v>
      </c>
      <c r="P420" s="377">
        <f>IFERROR(O420*VLOOKUP(G420,MODULY_CBA!$B$3:$F$23,5,0),)</f>
        <v>496.48499999999996</v>
      </c>
      <c r="Q420" s="478" t="str">
        <f>IFERROR(VLOOKUP(G420,MODULY_CBA!$B$3:$I$23,6,0),"")</f>
        <v>Inkrement 1</v>
      </c>
    </row>
    <row r="421" spans="1:17" ht="25.5">
      <c r="A421" s="401">
        <v>419</v>
      </c>
      <c r="B421" s="401" t="s">
        <v>475</v>
      </c>
      <c r="C421" s="530" t="s">
        <v>895</v>
      </c>
      <c r="D421" s="530" t="s">
        <v>896</v>
      </c>
      <c r="E421" s="530"/>
      <c r="F421" s="389" t="s">
        <v>8</v>
      </c>
      <c r="G421" s="389" t="s">
        <v>260</v>
      </c>
      <c r="H421" s="379">
        <v>2</v>
      </c>
      <c r="I421" s="379">
        <v>15</v>
      </c>
      <c r="J421" s="379">
        <f t="shared" si="26"/>
        <v>2</v>
      </c>
      <c r="K421" s="379">
        <f t="shared" ref="K421:K430" si="27">H421*I421</f>
        <v>30</v>
      </c>
      <c r="L421" s="643">
        <f>IFERROR(IF(B421="funkcna poziadavka",VLOOKUP(G421,MODULY_CBA!$B$3:$E$23,4,0)*H421/SUMIFS($H$3:$H$199,$G$3:$G$199,G421,$B$3:$B$199,B421),),)</f>
        <v>0</v>
      </c>
      <c r="M421" s="379">
        <f>IFERROR(IF(B421="Funkcna poziadavka",VLOOKUP(G421,MODULY_CBA!$B$3:$E$23,3,0),),)</f>
        <v>0.93499999999999994</v>
      </c>
      <c r="N421" s="379">
        <f>IFERROR(IF(B421="funkcna poziadavka",VLOOKUP(G421,MODULY_CBA!$B$3:$E$23,2,0),),)</f>
        <v>1.18</v>
      </c>
      <c r="O421" s="378">
        <f t="shared" ref="O421:O430" si="28">(K421+L421)*M421*N421</f>
        <v>33.098999999999997</v>
      </c>
      <c r="P421" s="377">
        <f>IFERROR(O421*VLOOKUP(G421,MODULY_CBA!$B$3:$F$23,5,0),)</f>
        <v>992.96999999999991</v>
      </c>
      <c r="Q421" s="478" t="str">
        <f>IFERROR(VLOOKUP(G421,MODULY_CBA!$B$3:$I$23,6,0),"")</f>
        <v>Inkrement 2</v>
      </c>
    </row>
    <row r="422" spans="1:17" ht="25.5">
      <c r="A422" s="401">
        <v>420</v>
      </c>
      <c r="B422" s="401" t="s">
        <v>475</v>
      </c>
      <c r="C422" s="530" t="s">
        <v>895</v>
      </c>
      <c r="D422" s="530" t="s">
        <v>897</v>
      </c>
      <c r="E422" s="530"/>
      <c r="F422" s="389" t="s">
        <v>8</v>
      </c>
      <c r="G422" s="389" t="s">
        <v>260</v>
      </c>
      <c r="H422" s="379">
        <v>2</v>
      </c>
      <c r="I422" s="379">
        <v>15</v>
      </c>
      <c r="J422" s="379">
        <f t="shared" si="26"/>
        <v>2</v>
      </c>
      <c r="K422" s="379">
        <f t="shared" si="27"/>
        <v>30</v>
      </c>
      <c r="L422" s="643">
        <f>IFERROR(IF(B422="funkcna poziadavka",VLOOKUP(G422,MODULY_CBA!$B$3:$E$23,4,0)*H422/SUMIFS($H$3:$H$199,$G$3:$G$199,G422,$B$3:$B$199,B422),),)</f>
        <v>0</v>
      </c>
      <c r="M422" s="379">
        <f>IFERROR(IF(B422="Funkcna poziadavka",VLOOKUP(G422,MODULY_CBA!$B$3:$E$23,3,0),),)</f>
        <v>0.93499999999999994</v>
      </c>
      <c r="N422" s="379">
        <f>IFERROR(IF(B422="funkcna poziadavka",VLOOKUP(G422,MODULY_CBA!$B$3:$E$23,2,0),),)</f>
        <v>1.18</v>
      </c>
      <c r="O422" s="378">
        <f t="shared" si="28"/>
        <v>33.098999999999997</v>
      </c>
      <c r="P422" s="377">
        <f>IFERROR(O422*VLOOKUP(G422,MODULY_CBA!$B$3:$F$23,5,0),)</f>
        <v>992.96999999999991</v>
      </c>
      <c r="Q422" s="478" t="str">
        <f>IFERROR(VLOOKUP(G422,MODULY_CBA!$B$3:$I$23,6,0),"")</f>
        <v>Inkrement 2</v>
      </c>
    </row>
    <row r="423" spans="1:17" ht="25.5">
      <c r="A423" s="401">
        <v>421</v>
      </c>
      <c r="B423" s="401" t="s">
        <v>475</v>
      </c>
      <c r="C423" s="530" t="s">
        <v>895</v>
      </c>
      <c r="D423" s="530" t="s">
        <v>876</v>
      </c>
      <c r="E423" s="530"/>
      <c r="F423" s="389" t="s">
        <v>8</v>
      </c>
      <c r="G423" s="389" t="s">
        <v>260</v>
      </c>
      <c r="H423" s="379">
        <v>2</v>
      </c>
      <c r="I423" s="379">
        <v>10</v>
      </c>
      <c r="J423" s="379">
        <f t="shared" si="26"/>
        <v>2</v>
      </c>
      <c r="K423" s="379">
        <f t="shared" si="27"/>
        <v>20</v>
      </c>
      <c r="L423" s="643">
        <f>IFERROR(IF(B423="funkcna poziadavka",VLOOKUP(G423,MODULY_CBA!$B$3:$E$23,4,0)*H423/SUMIFS($H$3:$H$199,$G$3:$G$199,G423,$B$3:$B$199,B423),),)</f>
        <v>0</v>
      </c>
      <c r="M423" s="379">
        <f>IFERROR(IF(B423="Funkcna poziadavka",VLOOKUP(G423,MODULY_CBA!$B$3:$E$23,3,0),),)</f>
        <v>0.93499999999999994</v>
      </c>
      <c r="N423" s="379">
        <f>IFERROR(IF(B423="funkcna poziadavka",VLOOKUP(G423,MODULY_CBA!$B$3:$E$23,2,0),),)</f>
        <v>1.18</v>
      </c>
      <c r="O423" s="378">
        <f t="shared" si="28"/>
        <v>22.065999999999999</v>
      </c>
      <c r="P423" s="377">
        <f>IFERROR(O423*VLOOKUP(G423,MODULY_CBA!$B$3:$F$23,5,0),)</f>
        <v>661.98</v>
      </c>
      <c r="Q423" s="478" t="str">
        <f>IFERROR(VLOOKUP(G423,MODULY_CBA!$B$3:$I$23,6,0),"")</f>
        <v>Inkrement 2</v>
      </c>
    </row>
    <row r="424" spans="1:17" ht="25.5">
      <c r="A424" s="401">
        <v>422</v>
      </c>
      <c r="B424" s="401" t="s">
        <v>475</v>
      </c>
      <c r="C424" s="530" t="s">
        <v>895</v>
      </c>
      <c r="D424" s="530" t="s">
        <v>877</v>
      </c>
      <c r="E424" s="530"/>
      <c r="F424" s="389" t="s">
        <v>8</v>
      </c>
      <c r="G424" s="389" t="s">
        <v>260</v>
      </c>
      <c r="H424" s="379">
        <v>2</v>
      </c>
      <c r="I424" s="379">
        <v>10</v>
      </c>
      <c r="J424" s="379">
        <f t="shared" si="26"/>
        <v>2</v>
      </c>
      <c r="K424" s="379">
        <f t="shared" si="27"/>
        <v>20</v>
      </c>
      <c r="L424" s="643">
        <f>IFERROR(IF(B424="funkcna poziadavka",VLOOKUP(G424,MODULY_CBA!$B$3:$E$23,4,0)*H424/SUMIFS($H$3:$H$199,$G$3:$G$199,G424,$B$3:$B$199,B424),),)</f>
        <v>0</v>
      </c>
      <c r="M424" s="379">
        <f>IFERROR(IF(B424="Funkcna poziadavka",VLOOKUP(G424,MODULY_CBA!$B$3:$E$23,3,0),),)</f>
        <v>0.93499999999999994</v>
      </c>
      <c r="N424" s="379">
        <f>IFERROR(IF(B424="funkcna poziadavka",VLOOKUP(G424,MODULY_CBA!$B$3:$E$23,2,0),),)</f>
        <v>1.18</v>
      </c>
      <c r="O424" s="378">
        <f t="shared" si="28"/>
        <v>22.065999999999999</v>
      </c>
      <c r="P424" s="377">
        <f>IFERROR(O424*VLOOKUP(G424,MODULY_CBA!$B$3:$F$23,5,0),)</f>
        <v>661.98</v>
      </c>
      <c r="Q424" s="478" t="str">
        <f>IFERROR(VLOOKUP(G424,MODULY_CBA!$B$3:$I$23,6,0),"")</f>
        <v>Inkrement 2</v>
      </c>
    </row>
    <row r="425" spans="1:17" ht="25.5">
      <c r="A425" s="401">
        <v>423</v>
      </c>
      <c r="B425" s="401" t="s">
        <v>475</v>
      </c>
      <c r="C425" s="530" t="s">
        <v>895</v>
      </c>
      <c r="D425" s="530" t="s">
        <v>878</v>
      </c>
      <c r="E425" s="530"/>
      <c r="F425" s="389" t="s">
        <v>8</v>
      </c>
      <c r="G425" s="389" t="s">
        <v>260</v>
      </c>
      <c r="H425" s="379">
        <v>2</v>
      </c>
      <c r="I425" s="379">
        <v>10</v>
      </c>
      <c r="J425" s="379">
        <f t="shared" si="26"/>
        <v>2</v>
      </c>
      <c r="K425" s="379">
        <f t="shared" si="27"/>
        <v>20</v>
      </c>
      <c r="L425" s="643">
        <f>IFERROR(IF(B425="funkcna poziadavka",VLOOKUP(G425,MODULY_CBA!$B$3:$E$23,4,0)*H425/SUMIFS($H$3:$H$199,$G$3:$G$199,G425,$B$3:$B$199,B425),),)</f>
        <v>0</v>
      </c>
      <c r="M425" s="379">
        <f>IFERROR(IF(B425="Funkcna poziadavka",VLOOKUP(G425,MODULY_CBA!$B$3:$E$23,3,0),),)</f>
        <v>0.93499999999999994</v>
      </c>
      <c r="N425" s="379">
        <f>IFERROR(IF(B425="funkcna poziadavka",VLOOKUP(G425,MODULY_CBA!$B$3:$E$23,2,0),),)</f>
        <v>1.18</v>
      </c>
      <c r="O425" s="378">
        <f t="shared" si="28"/>
        <v>22.065999999999999</v>
      </c>
      <c r="P425" s="377">
        <f>IFERROR(O425*VLOOKUP(G425,MODULY_CBA!$B$3:$F$23,5,0),)</f>
        <v>661.98</v>
      </c>
      <c r="Q425" s="478" t="str">
        <f>IFERROR(VLOOKUP(G425,MODULY_CBA!$B$3:$I$23,6,0),"")</f>
        <v>Inkrement 2</v>
      </c>
    </row>
    <row r="426" spans="1:17" ht="25.5">
      <c r="A426" s="401">
        <v>424</v>
      </c>
      <c r="B426" s="401" t="s">
        <v>475</v>
      </c>
      <c r="C426" s="530" t="s">
        <v>895</v>
      </c>
      <c r="D426" s="530" t="s">
        <v>879</v>
      </c>
      <c r="E426" s="530"/>
      <c r="F426" s="389" t="s">
        <v>8</v>
      </c>
      <c r="G426" s="389" t="s">
        <v>260</v>
      </c>
      <c r="H426" s="379">
        <v>2</v>
      </c>
      <c r="I426" s="379">
        <v>15</v>
      </c>
      <c r="J426" s="379">
        <f t="shared" si="26"/>
        <v>2</v>
      </c>
      <c r="K426" s="379">
        <f t="shared" si="27"/>
        <v>30</v>
      </c>
      <c r="L426" s="643">
        <f>IFERROR(IF(B426="funkcna poziadavka",VLOOKUP(G426,MODULY_CBA!$B$3:$E$23,4,0)*H426/SUMIFS($H$3:$H$199,$G$3:$G$199,G426,$B$3:$B$199,B426),),)</f>
        <v>0</v>
      </c>
      <c r="M426" s="379">
        <f>IFERROR(IF(B426="Funkcna poziadavka",VLOOKUP(G426,MODULY_CBA!$B$3:$E$23,3,0),),)</f>
        <v>0.93499999999999994</v>
      </c>
      <c r="N426" s="379">
        <f>IFERROR(IF(B426="funkcna poziadavka",VLOOKUP(G426,MODULY_CBA!$B$3:$E$23,2,0),),)</f>
        <v>1.18</v>
      </c>
      <c r="O426" s="378">
        <f t="shared" si="28"/>
        <v>33.098999999999997</v>
      </c>
      <c r="P426" s="377">
        <f>IFERROR(O426*VLOOKUP(G426,MODULY_CBA!$B$3:$F$23,5,0),)</f>
        <v>992.96999999999991</v>
      </c>
      <c r="Q426" s="478" t="str">
        <f>IFERROR(VLOOKUP(G426,MODULY_CBA!$B$3:$I$23,6,0),"")</f>
        <v>Inkrement 2</v>
      </c>
    </row>
    <row r="427" spans="1:17" ht="25.5">
      <c r="A427" s="401">
        <v>425</v>
      </c>
      <c r="B427" s="401" t="s">
        <v>475</v>
      </c>
      <c r="C427" s="530" t="s">
        <v>895</v>
      </c>
      <c r="D427" s="530" t="s">
        <v>880</v>
      </c>
      <c r="E427" s="530"/>
      <c r="F427" s="389" t="s">
        <v>8</v>
      </c>
      <c r="G427" s="389" t="s">
        <v>260</v>
      </c>
      <c r="H427" s="379">
        <v>2</v>
      </c>
      <c r="I427" s="379">
        <v>10</v>
      </c>
      <c r="J427" s="379">
        <f t="shared" si="26"/>
        <v>2</v>
      </c>
      <c r="K427" s="379">
        <f t="shared" si="27"/>
        <v>20</v>
      </c>
      <c r="L427" s="643">
        <f>IFERROR(IF(B427="funkcna poziadavka",VLOOKUP(G427,MODULY_CBA!$B$3:$E$23,4,0)*H427/SUMIFS($H$3:$H$199,$G$3:$G$199,G427,$B$3:$B$199,B427),),)</f>
        <v>0</v>
      </c>
      <c r="M427" s="379">
        <f>IFERROR(IF(B427="Funkcna poziadavka",VLOOKUP(G427,MODULY_CBA!$B$3:$E$23,3,0),),)</f>
        <v>0.93499999999999994</v>
      </c>
      <c r="N427" s="379">
        <f>IFERROR(IF(B427="funkcna poziadavka",VLOOKUP(G427,MODULY_CBA!$B$3:$E$23,2,0),),)</f>
        <v>1.18</v>
      </c>
      <c r="O427" s="378">
        <f t="shared" si="28"/>
        <v>22.065999999999999</v>
      </c>
      <c r="P427" s="377">
        <f>IFERROR(O427*VLOOKUP(G427,MODULY_CBA!$B$3:$F$23,5,0),)</f>
        <v>661.98</v>
      </c>
      <c r="Q427" s="478" t="str">
        <f>IFERROR(VLOOKUP(G427,MODULY_CBA!$B$3:$I$23,6,0),"")</f>
        <v>Inkrement 2</v>
      </c>
    </row>
    <row r="428" spans="1:17" ht="25.5">
      <c r="A428" s="401">
        <v>426</v>
      </c>
      <c r="B428" s="401" t="s">
        <v>475</v>
      </c>
      <c r="C428" s="530" t="s">
        <v>895</v>
      </c>
      <c r="D428" s="530" t="s">
        <v>898</v>
      </c>
      <c r="E428" s="530"/>
      <c r="F428" s="389" t="s">
        <v>8</v>
      </c>
      <c r="G428" s="389" t="s">
        <v>260</v>
      </c>
      <c r="H428" s="379">
        <v>2</v>
      </c>
      <c r="I428" s="379">
        <v>15</v>
      </c>
      <c r="J428" s="379">
        <f t="shared" si="26"/>
        <v>2</v>
      </c>
      <c r="K428" s="379">
        <f t="shared" si="27"/>
        <v>30</v>
      </c>
      <c r="L428" s="643">
        <f>IFERROR(IF(B428="funkcna poziadavka",VLOOKUP(G428,MODULY_CBA!$B$3:$E$23,4,0)*H428/SUMIFS($H$3:$H$199,$G$3:$G$199,G428,$B$3:$B$199,B428),),)</f>
        <v>0</v>
      </c>
      <c r="M428" s="379">
        <f>IFERROR(IF(B428="Funkcna poziadavka",VLOOKUP(G428,MODULY_CBA!$B$3:$E$23,3,0),),)</f>
        <v>0.93499999999999994</v>
      </c>
      <c r="N428" s="379">
        <f>IFERROR(IF(B428="funkcna poziadavka",VLOOKUP(G428,MODULY_CBA!$B$3:$E$23,2,0),),)</f>
        <v>1.18</v>
      </c>
      <c r="O428" s="378">
        <f t="shared" si="28"/>
        <v>33.098999999999997</v>
      </c>
      <c r="P428" s="377">
        <f>IFERROR(O428*VLOOKUP(G428,MODULY_CBA!$B$3:$F$23,5,0),)</f>
        <v>992.96999999999991</v>
      </c>
      <c r="Q428" s="478" t="str">
        <f>IFERROR(VLOOKUP(G428,MODULY_CBA!$B$3:$I$23,6,0),"")</f>
        <v>Inkrement 2</v>
      </c>
    </row>
    <row r="429" spans="1:17" ht="25.5">
      <c r="A429" s="401">
        <v>427</v>
      </c>
      <c r="B429" s="401" t="s">
        <v>475</v>
      </c>
      <c r="C429" s="530" t="s">
        <v>895</v>
      </c>
      <c r="D429" s="530" t="s">
        <v>899</v>
      </c>
      <c r="E429" s="530"/>
      <c r="F429" s="389" t="s">
        <v>8</v>
      </c>
      <c r="G429" s="389" t="s">
        <v>260</v>
      </c>
      <c r="H429" s="379">
        <v>2</v>
      </c>
      <c r="I429" s="379">
        <v>15</v>
      </c>
      <c r="J429" s="379">
        <f t="shared" si="26"/>
        <v>2</v>
      </c>
      <c r="K429" s="379">
        <f t="shared" si="27"/>
        <v>30</v>
      </c>
      <c r="L429" s="643">
        <f>IFERROR(IF(B429="funkcna poziadavka",VLOOKUP(G429,MODULY_CBA!$B$3:$E$23,4,0)*H429/SUMIFS($H$3:$H$199,$G$3:$G$199,G429,$B$3:$B$199,B429),),)</f>
        <v>0</v>
      </c>
      <c r="M429" s="379">
        <f>IFERROR(IF(B429="Funkcna poziadavka",VLOOKUP(G429,MODULY_CBA!$B$3:$E$23,3,0),),)</f>
        <v>0.93499999999999994</v>
      </c>
      <c r="N429" s="379">
        <f>IFERROR(IF(B429="funkcna poziadavka",VLOOKUP(G429,MODULY_CBA!$B$3:$E$23,2,0),),)</f>
        <v>1.18</v>
      </c>
      <c r="O429" s="378">
        <f t="shared" si="28"/>
        <v>33.098999999999997</v>
      </c>
      <c r="P429" s="377">
        <f>IFERROR(O429*VLOOKUP(G429,MODULY_CBA!$B$3:$F$23,5,0),)</f>
        <v>992.96999999999991</v>
      </c>
      <c r="Q429" s="478" t="str">
        <f>IFERROR(VLOOKUP(G429,MODULY_CBA!$B$3:$I$23,6,0),"")</f>
        <v>Inkrement 2</v>
      </c>
    </row>
    <row r="430" spans="1:17" ht="25.5">
      <c r="A430" s="401">
        <v>428</v>
      </c>
      <c r="B430" s="401" t="s">
        <v>475</v>
      </c>
      <c r="C430" s="530" t="s">
        <v>895</v>
      </c>
      <c r="D430" s="530" t="s">
        <v>900</v>
      </c>
      <c r="E430" s="530"/>
      <c r="F430" s="389" t="s">
        <v>8</v>
      </c>
      <c r="G430" s="389" t="s">
        <v>246</v>
      </c>
      <c r="H430" s="379">
        <v>2</v>
      </c>
      <c r="I430" s="379">
        <v>15</v>
      </c>
      <c r="J430" s="379">
        <f t="shared" si="26"/>
        <v>2</v>
      </c>
      <c r="K430" s="379">
        <f t="shared" si="27"/>
        <v>30</v>
      </c>
      <c r="L430" s="643">
        <f>IFERROR(IF(B430="funkcna poziadavka",VLOOKUP(G430,MODULY_CBA!$B$3:$E$23,4,0)*H430/SUMIFS($H$3:$H$199,$G$3:$G$199,G430,$B$3:$B$199,B430),),)</f>
        <v>0</v>
      </c>
      <c r="M430" s="379">
        <f>IFERROR(IF(B430="Funkcna poziadavka",VLOOKUP(G430,MODULY_CBA!$B$3:$E$23,3,0),),)</f>
        <v>0.93499999999999994</v>
      </c>
      <c r="N430" s="379">
        <f>IFERROR(IF(B430="funkcna poziadavka",VLOOKUP(G430,MODULY_CBA!$B$3:$E$23,2,0),),)</f>
        <v>1.18</v>
      </c>
      <c r="O430" s="378">
        <f t="shared" si="28"/>
        <v>33.098999999999997</v>
      </c>
      <c r="P430" s="377">
        <f>IFERROR(O430*VLOOKUP(G430,MODULY_CBA!$B$3:$F$23,5,0),)</f>
        <v>992.96999999999991</v>
      </c>
      <c r="Q430" s="478" t="str">
        <f>IFERROR(VLOOKUP(G430,MODULY_CBA!$B$3:$I$23,6,0),"")</f>
        <v>Inkrement 1</v>
      </c>
    </row>
    <row r="431" spans="1:17" ht="25.5">
      <c r="A431" s="401">
        <v>429</v>
      </c>
      <c r="B431" s="401" t="s">
        <v>475</v>
      </c>
      <c r="C431" s="530" t="s">
        <v>476</v>
      </c>
      <c r="D431" s="530" t="s">
        <v>901</v>
      </c>
      <c r="E431" s="530"/>
      <c r="F431" s="389" t="s">
        <v>8</v>
      </c>
      <c r="G431" s="389" t="s">
        <v>255</v>
      </c>
      <c r="H431" s="379">
        <v>2</v>
      </c>
      <c r="I431" s="379">
        <v>15</v>
      </c>
      <c r="J431" s="379">
        <f t="shared" si="26"/>
        <v>2</v>
      </c>
      <c r="K431" s="379">
        <f t="shared" ref="K431:K510" si="29">H431*I431</f>
        <v>30</v>
      </c>
      <c r="L431" s="643">
        <f>IFERROR(IF(B431="funkcna poziadavka",VLOOKUP(G431,MODULY_CBA!$B$3:$E$23,4,0)*H431/SUMIFS($H$3:$H$199,$G$3:$G$199,G431,$B$3:$B$199,B431),),)</f>
        <v>0.21323529411764705</v>
      </c>
      <c r="M431" s="379">
        <f>IFERROR(IF(B431="Funkcna poziadavka",VLOOKUP(G431,MODULY_CBA!$B$3:$E$23,3,0),),)</f>
        <v>0.93499999999999994</v>
      </c>
      <c r="N431" s="379">
        <f>IFERROR(IF(B431="funkcna poziadavka",VLOOKUP(G431,MODULY_CBA!$B$3:$E$23,2,0),),)</f>
        <v>1.18</v>
      </c>
      <c r="O431" s="378">
        <f t="shared" ref="O431:O510" si="30">(K431+L431)*M431*N431</f>
        <v>33.334262500000001</v>
      </c>
      <c r="P431" s="377">
        <f>IFERROR(O431*VLOOKUP(G431,MODULY_CBA!$B$3:$F$23,5,0),)</f>
        <v>1000.027875</v>
      </c>
      <c r="Q431" s="478" t="str">
        <f>IFERROR(VLOOKUP(G431,MODULY_CBA!$B$3:$I$23,6,0),"")</f>
        <v>Inkrement 2</v>
      </c>
    </row>
    <row r="432" spans="1:17" ht="25.5">
      <c r="A432" s="401">
        <v>430</v>
      </c>
      <c r="B432" s="401" t="s">
        <v>475</v>
      </c>
      <c r="C432" s="530" t="s">
        <v>895</v>
      </c>
      <c r="D432" s="530" t="s">
        <v>902</v>
      </c>
      <c r="E432" s="530"/>
      <c r="F432" s="389" t="s">
        <v>8</v>
      </c>
      <c r="G432" s="389" t="s">
        <v>246</v>
      </c>
      <c r="H432" s="379">
        <v>2</v>
      </c>
      <c r="I432" s="379">
        <v>15</v>
      </c>
      <c r="J432" s="379">
        <f t="shared" si="26"/>
        <v>2</v>
      </c>
      <c r="K432" s="379">
        <f t="shared" si="29"/>
        <v>30</v>
      </c>
      <c r="L432" s="643">
        <f>IFERROR(IF(B432="funkcna poziadavka",VLOOKUP(G432,MODULY_CBA!$B$3:$E$23,4,0)*H432/SUMIFS($H$3:$H$199,$G$3:$G$199,G432,$B$3:$B$199,B432),),)</f>
        <v>0</v>
      </c>
      <c r="M432" s="379">
        <f>IFERROR(IF(B432="Funkcna poziadavka",VLOOKUP(G432,MODULY_CBA!$B$3:$E$23,3,0),),)</f>
        <v>0.93499999999999994</v>
      </c>
      <c r="N432" s="379">
        <f>IFERROR(IF(B432="funkcna poziadavka",VLOOKUP(G432,MODULY_CBA!$B$3:$E$23,2,0),),)</f>
        <v>1.18</v>
      </c>
      <c r="O432" s="378">
        <f t="shared" si="30"/>
        <v>33.098999999999997</v>
      </c>
      <c r="P432" s="377">
        <f>IFERROR(O432*VLOOKUP(G432,MODULY_CBA!$B$3:$F$23,5,0),)</f>
        <v>992.96999999999991</v>
      </c>
      <c r="Q432" s="478" t="str">
        <f>IFERROR(VLOOKUP(G432,MODULY_CBA!$B$3:$I$23,6,0),"")</f>
        <v>Inkrement 1</v>
      </c>
    </row>
    <row r="433" spans="1:17" ht="25.5">
      <c r="A433" s="401">
        <v>431</v>
      </c>
      <c r="B433" s="401" t="s">
        <v>475</v>
      </c>
      <c r="C433" s="530" t="s">
        <v>895</v>
      </c>
      <c r="D433" s="530" t="s">
        <v>903</v>
      </c>
      <c r="E433" s="530"/>
      <c r="F433" s="389" t="s">
        <v>8</v>
      </c>
      <c r="G433" s="389" t="s">
        <v>246</v>
      </c>
      <c r="H433" s="379">
        <v>2</v>
      </c>
      <c r="I433" s="379">
        <v>10</v>
      </c>
      <c r="J433" s="379">
        <f t="shared" si="26"/>
        <v>2</v>
      </c>
      <c r="K433" s="379">
        <f t="shared" si="29"/>
        <v>20</v>
      </c>
      <c r="L433" s="643">
        <f>IFERROR(IF(B433="funkcna poziadavka",VLOOKUP(G433,MODULY_CBA!$B$3:$E$23,4,0)*H433/SUMIFS($H$3:$H$199,$G$3:$G$199,G433,$B$3:$B$199,B433),),)</f>
        <v>0</v>
      </c>
      <c r="M433" s="379">
        <f>IFERROR(IF(B433="Funkcna poziadavka",VLOOKUP(G433,MODULY_CBA!$B$3:$E$23,3,0),),)</f>
        <v>0.93499999999999994</v>
      </c>
      <c r="N433" s="379">
        <f>IFERROR(IF(B433="funkcna poziadavka",VLOOKUP(G433,MODULY_CBA!$B$3:$E$23,2,0),),)</f>
        <v>1.18</v>
      </c>
      <c r="O433" s="378">
        <f t="shared" si="30"/>
        <v>22.065999999999999</v>
      </c>
      <c r="P433" s="377">
        <f>IFERROR(O433*VLOOKUP(G433,MODULY_CBA!$B$3:$F$23,5,0),)</f>
        <v>661.98</v>
      </c>
      <c r="Q433" s="478" t="str">
        <f>IFERROR(VLOOKUP(G433,MODULY_CBA!$B$3:$I$23,6,0),"")</f>
        <v>Inkrement 1</v>
      </c>
    </row>
    <row r="434" spans="1:17" ht="25.5">
      <c r="A434" s="401">
        <v>432</v>
      </c>
      <c r="B434" s="401" t="s">
        <v>475</v>
      </c>
      <c r="C434" s="530" t="s">
        <v>895</v>
      </c>
      <c r="D434" s="530" t="s">
        <v>904</v>
      </c>
      <c r="E434" s="530"/>
      <c r="F434" s="389" t="s">
        <v>8</v>
      </c>
      <c r="G434" s="389" t="s">
        <v>246</v>
      </c>
      <c r="H434" s="379">
        <v>2</v>
      </c>
      <c r="I434" s="379">
        <v>10</v>
      </c>
      <c r="J434" s="379">
        <f t="shared" si="26"/>
        <v>2</v>
      </c>
      <c r="K434" s="379">
        <f t="shared" si="29"/>
        <v>20</v>
      </c>
      <c r="L434" s="643">
        <f>IFERROR(IF(B434="funkcna poziadavka",VLOOKUP(G434,MODULY_CBA!$B$3:$E$23,4,0)*H434/SUMIFS($H$3:$H$199,$G$3:$G$199,G434,$B$3:$B$199,B434),),)</f>
        <v>0</v>
      </c>
      <c r="M434" s="379">
        <f>IFERROR(IF(B434="Funkcna poziadavka",VLOOKUP(G434,MODULY_CBA!$B$3:$E$23,3,0),),)</f>
        <v>0.93499999999999994</v>
      </c>
      <c r="N434" s="379">
        <f>IFERROR(IF(B434="funkcna poziadavka",VLOOKUP(G434,MODULY_CBA!$B$3:$E$23,2,0),),)</f>
        <v>1.18</v>
      </c>
      <c r="O434" s="378">
        <f t="shared" si="30"/>
        <v>22.065999999999999</v>
      </c>
      <c r="P434" s="377">
        <f>IFERROR(O434*VLOOKUP(G434,MODULY_CBA!$B$3:$F$23,5,0),)</f>
        <v>661.98</v>
      </c>
      <c r="Q434" s="478" t="str">
        <f>IFERROR(VLOOKUP(G434,MODULY_CBA!$B$3:$I$23,6,0),"")</f>
        <v>Inkrement 1</v>
      </c>
    </row>
    <row r="435" spans="1:17">
      <c r="A435" s="401">
        <v>433</v>
      </c>
      <c r="B435" s="401" t="s">
        <v>475</v>
      </c>
      <c r="C435" s="530" t="s">
        <v>244</v>
      </c>
      <c r="D435" s="530" t="s">
        <v>905</v>
      </c>
      <c r="E435" s="530"/>
      <c r="F435" s="389" t="s">
        <v>8</v>
      </c>
      <c r="G435" s="389" t="s">
        <v>244</v>
      </c>
      <c r="H435" s="379">
        <v>1</v>
      </c>
      <c r="I435" s="379">
        <v>10</v>
      </c>
      <c r="J435" s="379">
        <f t="shared" si="26"/>
        <v>1</v>
      </c>
      <c r="K435" s="379">
        <f t="shared" si="29"/>
        <v>10</v>
      </c>
      <c r="L435" s="643">
        <f>IFERROR(IF(B435="funkcna poziadavka",VLOOKUP(G435,MODULY_CBA!$B$3:$E$23,4,0)*H435/SUMIFS($H$3:$H$199,$G$3:$G$199,G435,$B$3:$B$199,B435),),)</f>
        <v>0</v>
      </c>
      <c r="M435" s="379">
        <f>IFERROR(IF(B435="Funkcna poziadavka",VLOOKUP(G435,MODULY_CBA!$B$3:$E$23,3,0),),)</f>
        <v>0.93499999999999994</v>
      </c>
      <c r="N435" s="379">
        <f>IFERROR(IF(B435="funkcna poziadavka",VLOOKUP(G435,MODULY_CBA!$B$3:$E$23,2,0),),)</f>
        <v>1.18</v>
      </c>
      <c r="O435" s="378">
        <f t="shared" si="30"/>
        <v>11.032999999999999</v>
      </c>
      <c r="P435" s="377">
        <f>IFERROR(O435*VLOOKUP(G435,MODULY_CBA!$B$3:$F$23,5,0),)</f>
        <v>165.495</v>
      </c>
      <c r="Q435" s="478" t="str">
        <f>IFERROR(VLOOKUP(G435,MODULY_CBA!$B$3:$I$23,6,0),"")</f>
        <v>Inkrement 1</v>
      </c>
    </row>
    <row r="436" spans="1:17">
      <c r="A436" s="401">
        <v>434</v>
      </c>
      <c r="B436" s="401" t="s">
        <v>475</v>
      </c>
      <c r="C436" s="530" t="s">
        <v>244</v>
      </c>
      <c r="D436" s="530" t="s">
        <v>906</v>
      </c>
      <c r="E436" s="530"/>
      <c r="F436" s="389" t="s">
        <v>8</v>
      </c>
      <c r="G436" s="389" t="s">
        <v>244</v>
      </c>
      <c r="H436" s="379">
        <v>1</v>
      </c>
      <c r="I436" s="379">
        <v>10</v>
      </c>
      <c r="J436" s="379">
        <f t="shared" si="26"/>
        <v>1</v>
      </c>
      <c r="K436" s="379">
        <f t="shared" si="29"/>
        <v>10</v>
      </c>
      <c r="L436" s="643">
        <f>IFERROR(IF(B436="funkcna poziadavka",VLOOKUP(G436,MODULY_CBA!$B$3:$E$23,4,0)*H436/SUMIFS($H$3:$H$199,$G$3:$G$199,G436,$B$3:$B$199,B436),),)</f>
        <v>0</v>
      </c>
      <c r="M436" s="379">
        <f>IFERROR(IF(B436="Funkcna poziadavka",VLOOKUP(G436,MODULY_CBA!$B$3:$E$23,3,0),),)</f>
        <v>0.93499999999999994</v>
      </c>
      <c r="N436" s="379">
        <f>IFERROR(IF(B436="funkcna poziadavka",VLOOKUP(G436,MODULY_CBA!$B$3:$E$23,2,0),),)</f>
        <v>1.18</v>
      </c>
      <c r="O436" s="378">
        <f t="shared" si="30"/>
        <v>11.032999999999999</v>
      </c>
      <c r="P436" s="377">
        <f>IFERROR(O436*VLOOKUP(G436,MODULY_CBA!$B$3:$F$23,5,0),)</f>
        <v>165.495</v>
      </c>
      <c r="Q436" s="478" t="str">
        <f>IFERROR(VLOOKUP(G436,MODULY_CBA!$B$3:$I$23,6,0),"")</f>
        <v>Inkrement 1</v>
      </c>
    </row>
    <row r="437" spans="1:17">
      <c r="A437" s="401">
        <v>435</v>
      </c>
      <c r="B437" s="401" t="s">
        <v>475</v>
      </c>
      <c r="C437" s="530" t="s">
        <v>244</v>
      </c>
      <c r="D437" s="530" t="s">
        <v>907</v>
      </c>
      <c r="E437" s="530"/>
      <c r="F437" s="389" t="s">
        <v>8</v>
      </c>
      <c r="G437" s="389" t="s">
        <v>244</v>
      </c>
      <c r="H437" s="379">
        <v>1</v>
      </c>
      <c r="I437" s="379">
        <v>10</v>
      </c>
      <c r="J437" s="379">
        <f t="shared" si="26"/>
        <v>1</v>
      </c>
      <c r="K437" s="379">
        <f t="shared" si="29"/>
        <v>10</v>
      </c>
      <c r="L437" s="643">
        <f>IFERROR(IF(B437="funkcna poziadavka",VLOOKUP(G437,MODULY_CBA!$B$3:$E$23,4,0)*H437/SUMIFS($H$3:$H$199,$G$3:$G$199,G437,$B$3:$B$199,B437),),)</f>
        <v>0</v>
      </c>
      <c r="M437" s="379">
        <f>IFERROR(IF(B437="Funkcna poziadavka",VLOOKUP(G437,MODULY_CBA!$B$3:$E$23,3,0),),)</f>
        <v>0.93499999999999994</v>
      </c>
      <c r="N437" s="379">
        <f>IFERROR(IF(B437="funkcna poziadavka",VLOOKUP(G437,MODULY_CBA!$B$3:$E$23,2,0),),)</f>
        <v>1.18</v>
      </c>
      <c r="O437" s="378">
        <f t="shared" si="30"/>
        <v>11.032999999999999</v>
      </c>
      <c r="P437" s="377">
        <f>IFERROR(O437*VLOOKUP(G437,MODULY_CBA!$B$3:$F$23,5,0),)</f>
        <v>165.495</v>
      </c>
      <c r="Q437" s="478" t="str">
        <f>IFERROR(VLOOKUP(G437,MODULY_CBA!$B$3:$I$23,6,0),"")</f>
        <v>Inkrement 1</v>
      </c>
    </row>
    <row r="438" spans="1:17">
      <c r="A438" s="401">
        <v>436</v>
      </c>
      <c r="B438" s="401" t="s">
        <v>475</v>
      </c>
      <c r="C438" s="530" t="s">
        <v>244</v>
      </c>
      <c r="D438" s="530" t="s">
        <v>908</v>
      </c>
      <c r="E438" s="530"/>
      <c r="F438" s="389" t="s">
        <v>8</v>
      </c>
      <c r="G438" s="389" t="s">
        <v>244</v>
      </c>
      <c r="H438" s="379">
        <v>1</v>
      </c>
      <c r="I438" s="379">
        <v>10</v>
      </c>
      <c r="J438" s="379">
        <f t="shared" si="26"/>
        <v>1</v>
      </c>
      <c r="K438" s="379">
        <f t="shared" si="29"/>
        <v>10</v>
      </c>
      <c r="L438" s="643">
        <f>IFERROR(IF(B438="funkcna poziadavka",VLOOKUP(G438,MODULY_CBA!$B$3:$E$23,4,0)*H438/SUMIFS($H$3:$H$199,$G$3:$G$199,G438,$B$3:$B$199,B438),),)</f>
        <v>0</v>
      </c>
      <c r="M438" s="379">
        <f>IFERROR(IF(B438="Funkcna poziadavka",VLOOKUP(G438,MODULY_CBA!$B$3:$E$23,3,0),),)</f>
        <v>0.93499999999999994</v>
      </c>
      <c r="N438" s="379">
        <f>IFERROR(IF(B438="funkcna poziadavka",VLOOKUP(G438,MODULY_CBA!$B$3:$E$23,2,0),),)</f>
        <v>1.18</v>
      </c>
      <c r="O438" s="378">
        <f t="shared" si="30"/>
        <v>11.032999999999999</v>
      </c>
      <c r="P438" s="377">
        <f>IFERROR(O438*VLOOKUP(G438,MODULY_CBA!$B$3:$F$23,5,0),)</f>
        <v>165.495</v>
      </c>
      <c r="Q438" s="478" t="str">
        <f>IFERROR(VLOOKUP(G438,MODULY_CBA!$B$3:$I$23,6,0),"")</f>
        <v>Inkrement 1</v>
      </c>
    </row>
    <row r="439" spans="1:17">
      <c r="A439" s="401">
        <v>437</v>
      </c>
      <c r="B439" s="401" t="s">
        <v>475</v>
      </c>
      <c r="C439" s="530" t="s">
        <v>244</v>
      </c>
      <c r="D439" s="530" t="s">
        <v>909</v>
      </c>
      <c r="E439" s="530"/>
      <c r="F439" s="389" t="s">
        <v>8</v>
      </c>
      <c r="G439" s="389" t="s">
        <v>244</v>
      </c>
      <c r="H439" s="379">
        <v>1</v>
      </c>
      <c r="I439" s="379">
        <v>10</v>
      </c>
      <c r="J439" s="379">
        <f t="shared" si="26"/>
        <v>1</v>
      </c>
      <c r="K439" s="379">
        <f t="shared" si="29"/>
        <v>10</v>
      </c>
      <c r="L439" s="643">
        <f>IFERROR(IF(B439="funkcna poziadavka",VLOOKUP(G439,MODULY_CBA!$B$3:$E$23,4,0)*H439/SUMIFS($H$3:$H$199,$G$3:$G$199,G439,$B$3:$B$199,B439),),)</f>
        <v>0</v>
      </c>
      <c r="M439" s="379">
        <f>IFERROR(IF(B439="Funkcna poziadavka",VLOOKUP(G439,MODULY_CBA!$B$3:$E$23,3,0),),)</f>
        <v>0.93499999999999994</v>
      </c>
      <c r="N439" s="379">
        <f>IFERROR(IF(B439="funkcna poziadavka",VLOOKUP(G439,MODULY_CBA!$B$3:$E$23,2,0),),)</f>
        <v>1.18</v>
      </c>
      <c r="O439" s="378">
        <f t="shared" si="30"/>
        <v>11.032999999999999</v>
      </c>
      <c r="P439" s="377">
        <f>IFERROR(O439*VLOOKUP(G439,MODULY_CBA!$B$3:$F$23,5,0),)</f>
        <v>165.495</v>
      </c>
      <c r="Q439" s="478" t="str">
        <f>IFERROR(VLOOKUP(G439,MODULY_CBA!$B$3:$I$23,6,0),"")</f>
        <v>Inkrement 1</v>
      </c>
    </row>
    <row r="440" spans="1:17">
      <c r="A440" s="401">
        <v>438</v>
      </c>
      <c r="B440" s="401" t="s">
        <v>475</v>
      </c>
      <c r="C440" s="530" t="s">
        <v>244</v>
      </c>
      <c r="D440" s="530" t="s">
        <v>910</v>
      </c>
      <c r="E440" s="530"/>
      <c r="F440" s="389" t="s">
        <v>8</v>
      </c>
      <c r="G440" s="389" t="s">
        <v>244</v>
      </c>
      <c r="H440" s="379">
        <v>1</v>
      </c>
      <c r="I440" s="379">
        <v>10</v>
      </c>
      <c r="J440" s="379">
        <f t="shared" si="26"/>
        <v>1</v>
      </c>
      <c r="K440" s="379">
        <f t="shared" si="29"/>
        <v>10</v>
      </c>
      <c r="L440" s="643">
        <f>IFERROR(IF(B440="funkcna poziadavka",VLOOKUP(G440,MODULY_CBA!$B$3:$E$23,4,0)*H440/SUMIFS($H$3:$H$199,$G$3:$G$199,G440,$B$3:$B$199,B440),),)</f>
        <v>0</v>
      </c>
      <c r="M440" s="379">
        <f>IFERROR(IF(B440="Funkcna poziadavka",VLOOKUP(G440,MODULY_CBA!$B$3:$E$23,3,0),),)</f>
        <v>0.93499999999999994</v>
      </c>
      <c r="N440" s="379">
        <f>IFERROR(IF(B440="funkcna poziadavka",VLOOKUP(G440,MODULY_CBA!$B$3:$E$23,2,0),),)</f>
        <v>1.18</v>
      </c>
      <c r="O440" s="378">
        <f t="shared" si="30"/>
        <v>11.032999999999999</v>
      </c>
      <c r="P440" s="377">
        <f>IFERROR(O440*VLOOKUP(G440,MODULY_CBA!$B$3:$F$23,5,0),)</f>
        <v>165.495</v>
      </c>
      <c r="Q440" s="478" t="str">
        <f>IFERROR(VLOOKUP(G440,MODULY_CBA!$B$3:$I$23,6,0),"")</f>
        <v>Inkrement 1</v>
      </c>
    </row>
    <row r="441" spans="1:17">
      <c r="A441" s="401">
        <v>439</v>
      </c>
      <c r="B441" s="401" t="s">
        <v>475</v>
      </c>
      <c r="C441" s="530" t="s">
        <v>244</v>
      </c>
      <c r="D441" s="530" t="s">
        <v>911</v>
      </c>
      <c r="E441" s="530"/>
      <c r="F441" s="389" t="s">
        <v>8</v>
      </c>
      <c r="G441" s="389" t="s">
        <v>244</v>
      </c>
      <c r="H441" s="379">
        <v>1</v>
      </c>
      <c r="I441" s="379">
        <v>10</v>
      </c>
      <c r="J441" s="379">
        <f t="shared" si="26"/>
        <v>1</v>
      </c>
      <c r="K441" s="379">
        <f t="shared" si="29"/>
        <v>10</v>
      </c>
      <c r="L441" s="643">
        <f>IFERROR(IF(B441="funkcna poziadavka",VLOOKUP(G441,MODULY_CBA!$B$3:$E$23,4,0)*H441/SUMIFS($H$3:$H$199,$G$3:$G$199,G441,$B$3:$B$199,B441),),)</f>
        <v>0</v>
      </c>
      <c r="M441" s="379">
        <f>IFERROR(IF(B441="Funkcna poziadavka",VLOOKUP(G441,MODULY_CBA!$B$3:$E$23,3,0),),)</f>
        <v>0.93499999999999994</v>
      </c>
      <c r="N441" s="379">
        <f>IFERROR(IF(B441="funkcna poziadavka",VLOOKUP(G441,MODULY_CBA!$B$3:$E$23,2,0),),)</f>
        <v>1.18</v>
      </c>
      <c r="O441" s="378">
        <f t="shared" si="30"/>
        <v>11.032999999999999</v>
      </c>
      <c r="P441" s="377">
        <f>IFERROR(O441*VLOOKUP(G441,MODULY_CBA!$B$3:$F$23,5,0),)</f>
        <v>165.495</v>
      </c>
      <c r="Q441" s="478" t="str">
        <f>IFERROR(VLOOKUP(G441,MODULY_CBA!$B$3:$I$23,6,0),"")</f>
        <v>Inkrement 1</v>
      </c>
    </row>
    <row r="442" spans="1:17">
      <c r="A442" s="401">
        <v>440</v>
      </c>
      <c r="B442" s="401" t="s">
        <v>475</v>
      </c>
      <c r="C442" s="530" t="s">
        <v>871</v>
      </c>
      <c r="D442" s="530" t="s">
        <v>912</v>
      </c>
      <c r="E442" s="530"/>
      <c r="F442" s="389" t="s">
        <v>8</v>
      </c>
      <c r="G442" s="389" t="s">
        <v>244</v>
      </c>
      <c r="H442" s="379">
        <v>1</v>
      </c>
      <c r="I442" s="379">
        <v>15</v>
      </c>
      <c r="J442" s="379">
        <f t="shared" si="26"/>
        <v>1</v>
      </c>
      <c r="K442" s="379">
        <f t="shared" si="29"/>
        <v>15</v>
      </c>
      <c r="L442" s="643">
        <f>IFERROR(IF(B442="funkcna poziadavka",VLOOKUP(G442,MODULY_CBA!$B$3:$E$23,4,0)*H442/SUMIFS($H$3:$H$199,$G$3:$G$199,G442,$B$3:$B$199,B442),),)</f>
        <v>0</v>
      </c>
      <c r="M442" s="379">
        <f>IFERROR(IF(B442="Funkcna poziadavka",VLOOKUP(G442,MODULY_CBA!$B$3:$E$23,3,0),),)</f>
        <v>0.93499999999999994</v>
      </c>
      <c r="N442" s="379">
        <f>IFERROR(IF(B442="funkcna poziadavka",VLOOKUP(G442,MODULY_CBA!$B$3:$E$23,2,0),),)</f>
        <v>1.18</v>
      </c>
      <c r="O442" s="378">
        <f t="shared" si="30"/>
        <v>16.549499999999998</v>
      </c>
      <c r="P442" s="377">
        <f>IFERROR(O442*VLOOKUP(G442,MODULY_CBA!$B$3:$F$23,5,0),)</f>
        <v>248.24249999999998</v>
      </c>
      <c r="Q442" s="478" t="str">
        <f>IFERROR(VLOOKUP(G442,MODULY_CBA!$B$3:$I$23,6,0),"")</f>
        <v>Inkrement 1</v>
      </c>
    </row>
    <row r="443" spans="1:17">
      <c r="A443" s="401">
        <v>441</v>
      </c>
      <c r="B443" s="401" t="s">
        <v>475</v>
      </c>
      <c r="C443" s="530" t="s">
        <v>871</v>
      </c>
      <c r="D443" s="530" t="s">
        <v>913</v>
      </c>
      <c r="E443" s="530"/>
      <c r="F443" s="389" t="s">
        <v>8</v>
      </c>
      <c r="G443" s="389" t="s">
        <v>244</v>
      </c>
      <c r="H443" s="379">
        <v>1</v>
      </c>
      <c r="I443" s="379">
        <v>15</v>
      </c>
      <c r="J443" s="379">
        <f t="shared" si="26"/>
        <v>1</v>
      </c>
      <c r="K443" s="379">
        <f t="shared" si="29"/>
        <v>15</v>
      </c>
      <c r="L443" s="643">
        <f>IFERROR(IF(B443="funkcna poziadavka",VLOOKUP(G443,MODULY_CBA!$B$3:$E$23,4,0)*H443/SUMIFS($H$3:$H$199,$G$3:$G$199,G443,$B$3:$B$199,B443),),)</f>
        <v>0</v>
      </c>
      <c r="M443" s="379">
        <f>IFERROR(IF(B443="Funkcna poziadavka",VLOOKUP(G443,MODULY_CBA!$B$3:$E$23,3,0),),)</f>
        <v>0.93499999999999994</v>
      </c>
      <c r="N443" s="379">
        <f>IFERROR(IF(B443="funkcna poziadavka",VLOOKUP(G443,MODULY_CBA!$B$3:$E$23,2,0),),)</f>
        <v>1.18</v>
      </c>
      <c r="O443" s="378">
        <f t="shared" si="30"/>
        <v>16.549499999999998</v>
      </c>
      <c r="P443" s="377">
        <f>IFERROR(O443*VLOOKUP(G443,MODULY_CBA!$B$3:$F$23,5,0),)</f>
        <v>248.24249999999998</v>
      </c>
      <c r="Q443" s="478" t="str">
        <f>IFERROR(VLOOKUP(G443,MODULY_CBA!$B$3:$I$23,6,0),"")</f>
        <v>Inkrement 1</v>
      </c>
    </row>
    <row r="444" spans="1:17">
      <c r="A444" s="401">
        <v>442</v>
      </c>
      <c r="B444" s="401" t="s">
        <v>475</v>
      </c>
      <c r="C444" s="530" t="s">
        <v>871</v>
      </c>
      <c r="D444" s="530" t="s">
        <v>914</v>
      </c>
      <c r="E444" s="530"/>
      <c r="F444" s="389" t="s">
        <v>8</v>
      </c>
      <c r="G444" s="389" t="s">
        <v>244</v>
      </c>
      <c r="H444" s="379">
        <v>1</v>
      </c>
      <c r="I444" s="379">
        <v>15</v>
      </c>
      <c r="J444" s="379">
        <f t="shared" si="26"/>
        <v>1</v>
      </c>
      <c r="K444" s="379">
        <f t="shared" si="29"/>
        <v>15</v>
      </c>
      <c r="L444" s="643">
        <f>IFERROR(IF(B444="funkcna poziadavka",VLOOKUP(G444,MODULY_CBA!$B$3:$E$23,4,0)*H444/SUMIFS($H$3:$H$199,$G$3:$G$199,G444,$B$3:$B$199,B444),),)</f>
        <v>0</v>
      </c>
      <c r="M444" s="379">
        <f>IFERROR(IF(B444="Funkcna poziadavka",VLOOKUP(G444,MODULY_CBA!$B$3:$E$23,3,0),),)</f>
        <v>0.93499999999999994</v>
      </c>
      <c r="N444" s="379">
        <f>IFERROR(IF(B444="funkcna poziadavka",VLOOKUP(G444,MODULY_CBA!$B$3:$E$23,2,0),),)</f>
        <v>1.18</v>
      </c>
      <c r="O444" s="378">
        <f t="shared" si="30"/>
        <v>16.549499999999998</v>
      </c>
      <c r="P444" s="377">
        <f>IFERROR(O444*VLOOKUP(G444,MODULY_CBA!$B$3:$F$23,5,0),)</f>
        <v>248.24249999999998</v>
      </c>
      <c r="Q444" s="478" t="str">
        <f>IFERROR(VLOOKUP(G444,MODULY_CBA!$B$3:$I$23,6,0),"")</f>
        <v>Inkrement 1</v>
      </c>
    </row>
    <row r="445" spans="1:17">
      <c r="A445" s="401">
        <v>443</v>
      </c>
      <c r="B445" s="401" t="s">
        <v>475</v>
      </c>
      <c r="C445" s="530" t="s">
        <v>871</v>
      </c>
      <c r="D445" s="530" t="s">
        <v>915</v>
      </c>
      <c r="E445" s="530"/>
      <c r="F445" s="389" t="s">
        <v>8</v>
      </c>
      <c r="G445" s="389" t="s">
        <v>244</v>
      </c>
      <c r="H445" s="379">
        <v>1</v>
      </c>
      <c r="I445" s="379">
        <v>15</v>
      </c>
      <c r="J445" s="379">
        <f t="shared" si="26"/>
        <v>1</v>
      </c>
      <c r="K445" s="379">
        <f t="shared" si="29"/>
        <v>15</v>
      </c>
      <c r="L445" s="643">
        <f>IFERROR(IF(B445="funkcna poziadavka",VLOOKUP(G445,MODULY_CBA!$B$3:$E$23,4,0)*H445/SUMIFS($H$3:$H$199,$G$3:$G$199,G445,$B$3:$B$199,B445),),)</f>
        <v>0</v>
      </c>
      <c r="M445" s="379">
        <f>IFERROR(IF(B445="Funkcna poziadavka",VLOOKUP(G445,MODULY_CBA!$B$3:$E$23,3,0),),)</f>
        <v>0.93499999999999994</v>
      </c>
      <c r="N445" s="379">
        <f>IFERROR(IF(B445="funkcna poziadavka",VLOOKUP(G445,MODULY_CBA!$B$3:$E$23,2,0),),)</f>
        <v>1.18</v>
      </c>
      <c r="O445" s="378">
        <f t="shared" si="30"/>
        <v>16.549499999999998</v>
      </c>
      <c r="P445" s="377">
        <f>IFERROR(O445*VLOOKUP(G445,MODULY_CBA!$B$3:$F$23,5,0),)</f>
        <v>248.24249999999998</v>
      </c>
      <c r="Q445" s="478" t="str">
        <f>IFERROR(VLOOKUP(G445,MODULY_CBA!$B$3:$I$23,6,0),"")</f>
        <v>Inkrement 1</v>
      </c>
    </row>
    <row r="446" spans="1:17">
      <c r="A446" s="401">
        <v>444</v>
      </c>
      <c r="B446" s="401" t="s">
        <v>475</v>
      </c>
      <c r="C446" s="530" t="s">
        <v>871</v>
      </c>
      <c r="D446" s="530" t="s">
        <v>916</v>
      </c>
      <c r="E446" s="530"/>
      <c r="F446" s="389" t="s">
        <v>8</v>
      </c>
      <c r="G446" s="389" t="s">
        <v>244</v>
      </c>
      <c r="H446" s="379">
        <v>1</v>
      </c>
      <c r="I446" s="379">
        <v>15</v>
      </c>
      <c r="J446" s="379">
        <f t="shared" si="26"/>
        <v>1</v>
      </c>
      <c r="K446" s="379">
        <f t="shared" si="29"/>
        <v>15</v>
      </c>
      <c r="L446" s="643">
        <f>IFERROR(IF(B446="funkcna poziadavka",VLOOKUP(G446,MODULY_CBA!$B$3:$E$23,4,0)*H446/SUMIFS($H$3:$H$199,$G$3:$G$199,G446,$B$3:$B$199,B446),),)</f>
        <v>0</v>
      </c>
      <c r="M446" s="379">
        <f>IFERROR(IF(B446="Funkcna poziadavka",VLOOKUP(G446,MODULY_CBA!$B$3:$E$23,3,0),),)</f>
        <v>0.93499999999999994</v>
      </c>
      <c r="N446" s="379">
        <f>IFERROR(IF(B446="funkcna poziadavka",VLOOKUP(G446,MODULY_CBA!$B$3:$E$23,2,0),),)</f>
        <v>1.18</v>
      </c>
      <c r="O446" s="378">
        <f t="shared" si="30"/>
        <v>16.549499999999998</v>
      </c>
      <c r="P446" s="377">
        <f>IFERROR(O446*VLOOKUP(G446,MODULY_CBA!$B$3:$F$23,5,0),)</f>
        <v>248.24249999999998</v>
      </c>
      <c r="Q446" s="478" t="str">
        <f>IFERROR(VLOOKUP(G446,MODULY_CBA!$B$3:$I$23,6,0),"")</f>
        <v>Inkrement 1</v>
      </c>
    </row>
    <row r="447" spans="1:17">
      <c r="A447" s="401">
        <v>445</v>
      </c>
      <c r="B447" s="401" t="s">
        <v>475</v>
      </c>
      <c r="C447" s="530" t="s">
        <v>871</v>
      </c>
      <c r="D447" s="530" t="s">
        <v>917</v>
      </c>
      <c r="E447" s="530"/>
      <c r="F447" s="389" t="s">
        <v>8</v>
      </c>
      <c r="G447" s="389" t="s">
        <v>244</v>
      </c>
      <c r="H447" s="379">
        <v>1</v>
      </c>
      <c r="I447" s="379">
        <v>15</v>
      </c>
      <c r="J447" s="379">
        <f t="shared" si="26"/>
        <v>1</v>
      </c>
      <c r="K447" s="379">
        <f t="shared" si="29"/>
        <v>15</v>
      </c>
      <c r="L447" s="643">
        <f>IFERROR(IF(B447="funkcna poziadavka",VLOOKUP(G447,MODULY_CBA!$B$3:$E$23,4,0)*H447/SUMIFS($H$3:$H$199,$G$3:$G$199,G447,$B$3:$B$199,B447),),)</f>
        <v>0</v>
      </c>
      <c r="M447" s="379">
        <f>IFERROR(IF(B447="Funkcna poziadavka",VLOOKUP(G447,MODULY_CBA!$B$3:$E$23,3,0),),)</f>
        <v>0.93499999999999994</v>
      </c>
      <c r="N447" s="379">
        <f>IFERROR(IF(B447="funkcna poziadavka",VLOOKUP(G447,MODULY_CBA!$B$3:$E$23,2,0),),)</f>
        <v>1.18</v>
      </c>
      <c r="O447" s="378">
        <f t="shared" si="30"/>
        <v>16.549499999999998</v>
      </c>
      <c r="P447" s="377">
        <f>IFERROR(O447*VLOOKUP(G447,MODULY_CBA!$B$3:$F$23,5,0),)</f>
        <v>248.24249999999998</v>
      </c>
      <c r="Q447" s="478" t="str">
        <f>IFERROR(VLOOKUP(G447,MODULY_CBA!$B$3:$I$23,6,0),"")</f>
        <v>Inkrement 1</v>
      </c>
    </row>
    <row r="448" spans="1:17">
      <c r="A448" s="401">
        <v>446</v>
      </c>
      <c r="B448" s="401" t="s">
        <v>475</v>
      </c>
      <c r="C448" s="530" t="s">
        <v>871</v>
      </c>
      <c r="D448" s="530" t="s">
        <v>918</v>
      </c>
      <c r="E448" s="530"/>
      <c r="F448" s="389" t="s">
        <v>8</v>
      </c>
      <c r="G448" s="389" t="s">
        <v>244</v>
      </c>
      <c r="H448" s="379">
        <v>1</v>
      </c>
      <c r="I448" s="379">
        <v>15</v>
      </c>
      <c r="J448" s="379">
        <f t="shared" si="26"/>
        <v>1</v>
      </c>
      <c r="K448" s="379">
        <f t="shared" si="29"/>
        <v>15</v>
      </c>
      <c r="L448" s="643">
        <f>IFERROR(IF(B448="funkcna poziadavka",VLOOKUP(G448,MODULY_CBA!$B$3:$E$23,4,0)*H448/SUMIFS($H$3:$H$199,$G$3:$G$199,G448,$B$3:$B$199,B448),),)</f>
        <v>0</v>
      </c>
      <c r="M448" s="379">
        <f>IFERROR(IF(B448="Funkcna poziadavka",VLOOKUP(G448,MODULY_CBA!$B$3:$E$23,3,0),),)</f>
        <v>0.93499999999999994</v>
      </c>
      <c r="N448" s="379">
        <f>IFERROR(IF(B448="funkcna poziadavka",VLOOKUP(G448,MODULY_CBA!$B$3:$E$23,2,0),),)</f>
        <v>1.18</v>
      </c>
      <c r="O448" s="378">
        <f t="shared" si="30"/>
        <v>16.549499999999998</v>
      </c>
      <c r="P448" s="377">
        <f>IFERROR(O448*VLOOKUP(G448,MODULY_CBA!$B$3:$F$23,5,0),)</f>
        <v>248.24249999999998</v>
      </c>
      <c r="Q448" s="478" t="str">
        <f>IFERROR(VLOOKUP(G448,MODULY_CBA!$B$3:$I$23,6,0),"")</f>
        <v>Inkrement 1</v>
      </c>
    </row>
    <row r="449" spans="1:17">
      <c r="A449" s="401">
        <v>447</v>
      </c>
      <c r="B449" s="401" t="s">
        <v>475</v>
      </c>
      <c r="C449" s="530" t="s">
        <v>871</v>
      </c>
      <c r="D449" s="530" t="s">
        <v>919</v>
      </c>
      <c r="E449" s="530"/>
      <c r="F449" s="389" t="s">
        <v>8</v>
      </c>
      <c r="G449" s="389" t="s">
        <v>244</v>
      </c>
      <c r="H449" s="379">
        <v>1</v>
      </c>
      <c r="I449" s="379">
        <v>15</v>
      </c>
      <c r="J449" s="379">
        <f t="shared" si="26"/>
        <v>1</v>
      </c>
      <c r="K449" s="379">
        <f t="shared" si="29"/>
        <v>15</v>
      </c>
      <c r="L449" s="643">
        <f>IFERROR(IF(B449="funkcna poziadavka",VLOOKUP(G449,MODULY_CBA!$B$3:$E$23,4,0)*H449/SUMIFS($H$3:$H$199,$G$3:$G$199,G449,$B$3:$B$199,B449),),)</f>
        <v>0</v>
      </c>
      <c r="M449" s="379">
        <f>IFERROR(IF(B449="Funkcna poziadavka",VLOOKUP(G449,MODULY_CBA!$B$3:$E$23,3,0),),)</f>
        <v>0.93499999999999994</v>
      </c>
      <c r="N449" s="379">
        <f>IFERROR(IF(B449="funkcna poziadavka",VLOOKUP(G449,MODULY_CBA!$B$3:$E$23,2,0),),)</f>
        <v>1.18</v>
      </c>
      <c r="O449" s="378">
        <f t="shared" si="30"/>
        <v>16.549499999999998</v>
      </c>
      <c r="P449" s="377">
        <f>IFERROR(O449*VLOOKUP(G449,MODULY_CBA!$B$3:$F$23,5,0),)</f>
        <v>248.24249999999998</v>
      </c>
      <c r="Q449" s="478" t="str">
        <f>IFERROR(VLOOKUP(G449,MODULY_CBA!$B$3:$I$23,6,0),"")</f>
        <v>Inkrement 1</v>
      </c>
    </row>
    <row r="450" spans="1:17">
      <c r="A450" s="401">
        <v>448</v>
      </c>
      <c r="B450" s="401" t="s">
        <v>475</v>
      </c>
      <c r="C450" s="530" t="s">
        <v>871</v>
      </c>
      <c r="D450" s="530" t="s">
        <v>920</v>
      </c>
      <c r="E450" s="530"/>
      <c r="F450" s="389" t="s">
        <v>8</v>
      </c>
      <c r="G450" s="389" t="s">
        <v>244</v>
      </c>
      <c r="H450" s="379">
        <v>1</v>
      </c>
      <c r="I450" s="379">
        <v>15</v>
      </c>
      <c r="J450" s="379">
        <f t="shared" si="26"/>
        <v>1</v>
      </c>
      <c r="K450" s="379">
        <f t="shared" si="29"/>
        <v>15</v>
      </c>
      <c r="L450" s="643">
        <f>IFERROR(IF(B450="funkcna poziadavka",VLOOKUP(G450,MODULY_CBA!$B$3:$E$23,4,0)*H450/SUMIFS($H$3:$H$199,$G$3:$G$199,G450,$B$3:$B$199,B450),),)</f>
        <v>0</v>
      </c>
      <c r="M450" s="379">
        <f>IFERROR(IF(B450="Funkcna poziadavka",VLOOKUP(G450,MODULY_CBA!$B$3:$E$23,3,0),),)</f>
        <v>0.93499999999999994</v>
      </c>
      <c r="N450" s="379">
        <f>IFERROR(IF(B450="funkcna poziadavka",VLOOKUP(G450,MODULY_CBA!$B$3:$E$23,2,0),),)</f>
        <v>1.18</v>
      </c>
      <c r="O450" s="378">
        <f t="shared" si="30"/>
        <v>16.549499999999998</v>
      </c>
      <c r="P450" s="377">
        <f>IFERROR(O450*VLOOKUP(G450,MODULY_CBA!$B$3:$F$23,5,0),)</f>
        <v>248.24249999999998</v>
      </c>
      <c r="Q450" s="478" t="str">
        <f>IFERROR(VLOOKUP(G450,MODULY_CBA!$B$3:$I$23,6,0),"")</f>
        <v>Inkrement 1</v>
      </c>
    </row>
    <row r="451" spans="1:17" ht="25.5">
      <c r="A451" s="401">
        <v>449</v>
      </c>
      <c r="B451" s="401" t="s">
        <v>475</v>
      </c>
      <c r="C451" s="530" t="s">
        <v>241</v>
      </c>
      <c r="D451" s="530" t="s">
        <v>921</v>
      </c>
      <c r="E451" s="530"/>
      <c r="F451" s="389" t="s">
        <v>8</v>
      </c>
      <c r="G451" s="389" t="s">
        <v>241</v>
      </c>
      <c r="H451" s="379">
        <v>2</v>
      </c>
      <c r="I451" s="379">
        <v>15</v>
      </c>
      <c r="J451" s="379">
        <f t="shared" si="26"/>
        <v>2</v>
      </c>
      <c r="K451" s="379">
        <f t="shared" si="29"/>
        <v>30</v>
      </c>
      <c r="L451" s="643">
        <f>IFERROR(IF(B451="funkcna poziadavka",VLOOKUP(G451,MODULY_CBA!$B$3:$E$23,4,0)*H451/SUMIFS($H$3:$H$199,$G$3:$G$199,G451,$B$3:$B$199,B451),),)</f>
        <v>0</v>
      </c>
      <c r="M451" s="379">
        <f>IFERROR(IF(B451="Funkcna poziadavka",VLOOKUP(G451,MODULY_CBA!$B$3:$E$23,3,0),),)</f>
        <v>0.93499999999999994</v>
      </c>
      <c r="N451" s="379">
        <f>IFERROR(IF(B451="funkcna poziadavka",VLOOKUP(G451,MODULY_CBA!$B$3:$E$23,2,0),),)</f>
        <v>1.18</v>
      </c>
      <c r="O451" s="378">
        <f t="shared" si="30"/>
        <v>33.098999999999997</v>
      </c>
      <c r="P451" s="377">
        <f>IFERROR(O451*VLOOKUP(G451,MODULY_CBA!$B$3:$F$23,5,0),)</f>
        <v>827.47499999999991</v>
      </c>
      <c r="Q451" s="478" t="str">
        <f>IFERROR(VLOOKUP(G451,MODULY_CBA!$B$3:$I$23,6,0),"")</f>
        <v>Inkrement 1</v>
      </c>
    </row>
    <row r="452" spans="1:17" ht="25.5">
      <c r="A452" s="401">
        <v>450</v>
      </c>
      <c r="B452" s="401" t="s">
        <v>475</v>
      </c>
      <c r="C452" s="530" t="s">
        <v>241</v>
      </c>
      <c r="D452" s="530" t="s">
        <v>922</v>
      </c>
      <c r="E452" s="530"/>
      <c r="F452" s="389" t="s">
        <v>8</v>
      </c>
      <c r="G452" s="389" t="s">
        <v>241</v>
      </c>
      <c r="H452" s="379">
        <v>2</v>
      </c>
      <c r="I452" s="379">
        <v>15</v>
      </c>
      <c r="J452" s="379">
        <f t="shared" ref="J452:J516" si="31">IF(ISNUMBER(H452),H452,)</f>
        <v>2</v>
      </c>
      <c r="K452" s="379">
        <f t="shared" si="29"/>
        <v>30</v>
      </c>
      <c r="L452" s="643">
        <f>IFERROR(IF(B452="funkcna poziadavka",VLOOKUP(G452,MODULY_CBA!$B$3:$E$23,4,0)*H452/SUMIFS($H$3:$H$199,$G$3:$G$199,G452,$B$3:$B$199,B452),),)</f>
        <v>0</v>
      </c>
      <c r="M452" s="379">
        <f>IFERROR(IF(B452="Funkcna poziadavka",VLOOKUP(G452,MODULY_CBA!$B$3:$E$23,3,0),),)</f>
        <v>0.93499999999999994</v>
      </c>
      <c r="N452" s="379">
        <f>IFERROR(IF(B452="funkcna poziadavka",VLOOKUP(G452,MODULY_CBA!$B$3:$E$23,2,0),),)</f>
        <v>1.18</v>
      </c>
      <c r="O452" s="378">
        <f t="shared" si="30"/>
        <v>33.098999999999997</v>
      </c>
      <c r="P452" s="377">
        <f>IFERROR(O452*VLOOKUP(G452,MODULY_CBA!$B$3:$F$23,5,0),)</f>
        <v>827.47499999999991</v>
      </c>
      <c r="Q452" s="478" t="str">
        <f>IFERROR(VLOOKUP(G452,MODULY_CBA!$B$3:$I$23,6,0),"")</f>
        <v>Inkrement 1</v>
      </c>
    </row>
    <row r="453" spans="1:17" ht="25.5">
      <c r="A453" s="401">
        <v>451</v>
      </c>
      <c r="B453" s="401" t="s">
        <v>475</v>
      </c>
      <c r="C453" s="530" t="s">
        <v>241</v>
      </c>
      <c r="D453" s="530" t="s">
        <v>923</v>
      </c>
      <c r="E453" s="530"/>
      <c r="F453" s="389" t="s">
        <v>8</v>
      </c>
      <c r="G453" s="389" t="s">
        <v>241</v>
      </c>
      <c r="H453" s="379">
        <v>2</v>
      </c>
      <c r="I453" s="379">
        <v>15</v>
      </c>
      <c r="J453" s="379">
        <f t="shared" si="31"/>
        <v>2</v>
      </c>
      <c r="K453" s="379">
        <f t="shared" ref="K453:K463" si="32">H453*I453</f>
        <v>30</v>
      </c>
      <c r="L453" s="643">
        <f>IFERROR(IF(B453="funkcna poziadavka",VLOOKUP(G453,MODULY_CBA!$B$3:$E$23,4,0)*H453/SUMIFS($H$3:$H$199,$G$3:$G$199,G453,$B$3:$B$199,B453),),)</f>
        <v>0</v>
      </c>
      <c r="M453" s="379">
        <f>IFERROR(IF(B453="Funkcna poziadavka",VLOOKUP(G453,MODULY_CBA!$B$3:$E$23,3,0),),)</f>
        <v>0.93499999999999994</v>
      </c>
      <c r="N453" s="379">
        <f>IFERROR(IF(B453="funkcna poziadavka",VLOOKUP(G453,MODULY_CBA!$B$3:$E$23,2,0),),)</f>
        <v>1.18</v>
      </c>
      <c r="O453" s="378">
        <f t="shared" ref="O453:O463" si="33">(K453+L453)*M453*N453</f>
        <v>33.098999999999997</v>
      </c>
      <c r="P453" s="377">
        <f>IFERROR(O453*VLOOKUP(G453,MODULY_CBA!$B$3:$F$23,5,0),)</f>
        <v>827.47499999999991</v>
      </c>
      <c r="Q453" s="478" t="str">
        <f>IFERROR(VLOOKUP(G453,MODULY_CBA!$B$3:$I$23,6,0),"")</f>
        <v>Inkrement 1</v>
      </c>
    </row>
    <row r="454" spans="1:17" ht="25.5">
      <c r="A454" s="401">
        <v>452</v>
      </c>
      <c r="B454" s="401" t="s">
        <v>475</v>
      </c>
      <c r="C454" s="530" t="s">
        <v>241</v>
      </c>
      <c r="D454" s="530" t="s">
        <v>924</v>
      </c>
      <c r="E454" s="530"/>
      <c r="F454" s="389" t="s">
        <v>8</v>
      </c>
      <c r="G454" s="389" t="s">
        <v>241</v>
      </c>
      <c r="H454" s="379">
        <v>2</v>
      </c>
      <c r="I454" s="379">
        <v>15</v>
      </c>
      <c r="J454" s="379">
        <f t="shared" si="31"/>
        <v>2</v>
      </c>
      <c r="K454" s="379">
        <f t="shared" si="32"/>
        <v>30</v>
      </c>
      <c r="L454" s="643">
        <f>IFERROR(IF(B454="funkcna poziadavka",VLOOKUP(G454,MODULY_CBA!$B$3:$E$23,4,0)*H454/SUMIFS($H$3:$H$199,$G$3:$G$199,G454,$B$3:$B$199,B454),),)</f>
        <v>0</v>
      </c>
      <c r="M454" s="379">
        <f>IFERROR(IF(B454="Funkcna poziadavka",VLOOKUP(G454,MODULY_CBA!$B$3:$E$23,3,0),),)</f>
        <v>0.93499999999999994</v>
      </c>
      <c r="N454" s="379">
        <f>IFERROR(IF(B454="funkcna poziadavka",VLOOKUP(G454,MODULY_CBA!$B$3:$E$23,2,0),),)</f>
        <v>1.18</v>
      </c>
      <c r="O454" s="378">
        <f t="shared" si="33"/>
        <v>33.098999999999997</v>
      </c>
      <c r="P454" s="377">
        <f>IFERROR(O454*VLOOKUP(G454,MODULY_CBA!$B$3:$F$23,5,0),)</f>
        <v>827.47499999999991</v>
      </c>
      <c r="Q454" s="478" t="str">
        <f>IFERROR(VLOOKUP(G454,MODULY_CBA!$B$3:$I$23,6,0),"")</f>
        <v>Inkrement 1</v>
      </c>
    </row>
    <row r="455" spans="1:17" ht="25.5">
      <c r="A455" s="401">
        <v>453</v>
      </c>
      <c r="B455" s="401" t="s">
        <v>475</v>
      </c>
      <c r="C455" s="530" t="s">
        <v>241</v>
      </c>
      <c r="D455" s="530" t="s">
        <v>925</v>
      </c>
      <c r="E455" s="530"/>
      <c r="F455" s="389" t="s">
        <v>8</v>
      </c>
      <c r="G455" s="389" t="s">
        <v>241</v>
      </c>
      <c r="H455" s="379">
        <v>2</v>
      </c>
      <c r="I455" s="379">
        <v>15</v>
      </c>
      <c r="J455" s="379">
        <f t="shared" si="31"/>
        <v>2</v>
      </c>
      <c r="K455" s="379">
        <f t="shared" si="32"/>
        <v>30</v>
      </c>
      <c r="L455" s="643">
        <f>IFERROR(IF(B455="funkcna poziadavka",VLOOKUP(G455,MODULY_CBA!$B$3:$E$23,4,0)*H455/SUMIFS($H$3:$H$199,$G$3:$G$199,G455,$B$3:$B$199,B455),),)</f>
        <v>0</v>
      </c>
      <c r="M455" s="379">
        <f>IFERROR(IF(B455="Funkcna poziadavka",VLOOKUP(G455,MODULY_CBA!$B$3:$E$23,3,0),),)</f>
        <v>0.93499999999999994</v>
      </c>
      <c r="N455" s="379">
        <f>IFERROR(IF(B455="funkcna poziadavka",VLOOKUP(G455,MODULY_CBA!$B$3:$E$23,2,0),),)</f>
        <v>1.18</v>
      </c>
      <c r="O455" s="378">
        <f t="shared" si="33"/>
        <v>33.098999999999997</v>
      </c>
      <c r="P455" s="377">
        <f>IFERROR(O455*VLOOKUP(G455,MODULY_CBA!$B$3:$F$23,5,0),)</f>
        <v>827.47499999999991</v>
      </c>
      <c r="Q455" s="478" t="str">
        <f>IFERROR(VLOOKUP(G455,MODULY_CBA!$B$3:$I$23,6,0),"")</f>
        <v>Inkrement 1</v>
      </c>
    </row>
    <row r="456" spans="1:17" ht="25.5">
      <c r="A456" s="401">
        <v>454</v>
      </c>
      <c r="B456" s="401" t="s">
        <v>475</v>
      </c>
      <c r="C456" s="530" t="s">
        <v>241</v>
      </c>
      <c r="D456" s="530" t="s">
        <v>926</v>
      </c>
      <c r="E456" s="530"/>
      <c r="F456" s="389" t="s">
        <v>8</v>
      </c>
      <c r="G456" s="389" t="s">
        <v>241</v>
      </c>
      <c r="H456" s="379">
        <v>2</v>
      </c>
      <c r="I456" s="379">
        <v>15</v>
      </c>
      <c r="J456" s="379">
        <f t="shared" si="31"/>
        <v>2</v>
      </c>
      <c r="K456" s="379">
        <f t="shared" si="32"/>
        <v>30</v>
      </c>
      <c r="L456" s="643">
        <f>IFERROR(IF(B456="funkcna poziadavka",VLOOKUP(G456,MODULY_CBA!$B$3:$E$23,4,0)*H456/SUMIFS($H$3:$H$199,$G$3:$G$199,G456,$B$3:$B$199,B456),),)</f>
        <v>0</v>
      </c>
      <c r="M456" s="379">
        <f>IFERROR(IF(B456="Funkcna poziadavka",VLOOKUP(G456,MODULY_CBA!$B$3:$E$23,3,0),),)</f>
        <v>0.93499999999999994</v>
      </c>
      <c r="N456" s="379">
        <f>IFERROR(IF(B456="funkcna poziadavka",VLOOKUP(G456,MODULY_CBA!$B$3:$E$23,2,0),),)</f>
        <v>1.18</v>
      </c>
      <c r="O456" s="378">
        <f t="shared" si="33"/>
        <v>33.098999999999997</v>
      </c>
      <c r="P456" s="377">
        <f>IFERROR(O456*VLOOKUP(G456,MODULY_CBA!$B$3:$F$23,5,0),)</f>
        <v>827.47499999999991</v>
      </c>
      <c r="Q456" s="478" t="str">
        <f>IFERROR(VLOOKUP(G456,MODULY_CBA!$B$3:$I$23,6,0),"")</f>
        <v>Inkrement 1</v>
      </c>
    </row>
    <row r="457" spans="1:17" ht="25.5">
      <c r="A457" s="401">
        <v>455</v>
      </c>
      <c r="B457" s="401" t="s">
        <v>475</v>
      </c>
      <c r="C457" s="530" t="s">
        <v>241</v>
      </c>
      <c r="D457" s="530" t="s">
        <v>927</v>
      </c>
      <c r="E457" s="530"/>
      <c r="F457" s="389" t="s">
        <v>8</v>
      </c>
      <c r="G457" s="389" t="s">
        <v>241</v>
      </c>
      <c r="H457" s="379">
        <v>2</v>
      </c>
      <c r="I457" s="379">
        <v>15</v>
      </c>
      <c r="J457" s="379">
        <f t="shared" si="31"/>
        <v>2</v>
      </c>
      <c r="K457" s="379">
        <f t="shared" si="32"/>
        <v>30</v>
      </c>
      <c r="L457" s="643">
        <f>IFERROR(IF(B457="funkcna poziadavka",VLOOKUP(G457,MODULY_CBA!$B$3:$E$23,4,0)*H457/SUMIFS($H$3:$H$199,$G$3:$G$199,G457,$B$3:$B$199,B457),),)</f>
        <v>0</v>
      </c>
      <c r="M457" s="379">
        <f>IFERROR(IF(B457="Funkcna poziadavka",VLOOKUP(G457,MODULY_CBA!$B$3:$E$23,3,0),),)</f>
        <v>0.93499999999999994</v>
      </c>
      <c r="N457" s="379">
        <f>IFERROR(IF(B457="funkcna poziadavka",VLOOKUP(G457,MODULY_CBA!$B$3:$E$23,2,0),),)</f>
        <v>1.18</v>
      </c>
      <c r="O457" s="378">
        <f t="shared" si="33"/>
        <v>33.098999999999997</v>
      </c>
      <c r="P457" s="377">
        <f>IFERROR(O457*VLOOKUP(G457,MODULY_CBA!$B$3:$F$23,5,0),)</f>
        <v>827.47499999999991</v>
      </c>
      <c r="Q457" s="478" t="str">
        <f>IFERROR(VLOOKUP(G457,MODULY_CBA!$B$3:$I$23,6,0),"")</f>
        <v>Inkrement 1</v>
      </c>
    </row>
    <row r="458" spans="1:17" ht="25.5">
      <c r="A458" s="401">
        <v>456</v>
      </c>
      <c r="B458" s="401" t="s">
        <v>475</v>
      </c>
      <c r="C458" s="530" t="s">
        <v>241</v>
      </c>
      <c r="D458" s="530" t="s">
        <v>928</v>
      </c>
      <c r="E458" s="530"/>
      <c r="F458" s="389" t="s">
        <v>8</v>
      </c>
      <c r="G458" s="389" t="s">
        <v>241</v>
      </c>
      <c r="H458" s="379">
        <v>2</v>
      </c>
      <c r="I458" s="379">
        <v>15</v>
      </c>
      <c r="J458" s="379">
        <f t="shared" si="31"/>
        <v>2</v>
      </c>
      <c r="K458" s="379">
        <f t="shared" si="32"/>
        <v>30</v>
      </c>
      <c r="L458" s="643">
        <f>IFERROR(IF(B458="funkcna poziadavka",VLOOKUP(G458,MODULY_CBA!$B$3:$E$23,4,0)*H458/SUMIFS($H$3:$H$199,$G$3:$G$199,G458,$B$3:$B$199,B458),),)</f>
        <v>0</v>
      </c>
      <c r="M458" s="379">
        <f>IFERROR(IF(B458="Funkcna poziadavka",VLOOKUP(G458,MODULY_CBA!$B$3:$E$23,3,0),),)</f>
        <v>0.93499999999999994</v>
      </c>
      <c r="N458" s="379">
        <f>IFERROR(IF(B458="funkcna poziadavka",VLOOKUP(G458,MODULY_CBA!$B$3:$E$23,2,0),),)</f>
        <v>1.18</v>
      </c>
      <c r="O458" s="378">
        <f t="shared" si="33"/>
        <v>33.098999999999997</v>
      </c>
      <c r="P458" s="377">
        <f>IFERROR(O458*VLOOKUP(G458,MODULY_CBA!$B$3:$F$23,5,0),)</f>
        <v>827.47499999999991</v>
      </c>
      <c r="Q458" s="478" t="str">
        <f>IFERROR(VLOOKUP(G458,MODULY_CBA!$B$3:$I$23,6,0),"")</f>
        <v>Inkrement 1</v>
      </c>
    </row>
    <row r="459" spans="1:17" ht="25.5">
      <c r="A459" s="401">
        <v>457</v>
      </c>
      <c r="B459" s="401" t="s">
        <v>475</v>
      </c>
      <c r="C459" s="530" t="s">
        <v>241</v>
      </c>
      <c r="D459" s="530" t="s">
        <v>929</v>
      </c>
      <c r="E459" s="530"/>
      <c r="F459" s="389" t="s">
        <v>8</v>
      </c>
      <c r="G459" s="389" t="s">
        <v>241</v>
      </c>
      <c r="H459" s="379">
        <v>2</v>
      </c>
      <c r="I459" s="379">
        <v>15</v>
      </c>
      <c r="J459" s="379">
        <f t="shared" si="31"/>
        <v>2</v>
      </c>
      <c r="K459" s="379">
        <f t="shared" si="32"/>
        <v>30</v>
      </c>
      <c r="L459" s="643">
        <f>IFERROR(IF(B459="funkcna poziadavka",VLOOKUP(G459,MODULY_CBA!$B$3:$E$23,4,0)*H459/SUMIFS($H$3:$H$199,$G$3:$G$199,G459,$B$3:$B$199,B459),),)</f>
        <v>0</v>
      </c>
      <c r="M459" s="379">
        <f>IFERROR(IF(B459="Funkcna poziadavka",VLOOKUP(G459,MODULY_CBA!$B$3:$E$23,3,0),),)</f>
        <v>0.93499999999999994</v>
      </c>
      <c r="N459" s="379">
        <f>IFERROR(IF(B459="funkcna poziadavka",VLOOKUP(G459,MODULY_CBA!$B$3:$E$23,2,0),),)</f>
        <v>1.18</v>
      </c>
      <c r="O459" s="378">
        <f t="shared" si="33"/>
        <v>33.098999999999997</v>
      </c>
      <c r="P459" s="377">
        <f>IFERROR(O459*VLOOKUP(G459,MODULY_CBA!$B$3:$F$23,5,0),)</f>
        <v>827.47499999999991</v>
      </c>
      <c r="Q459" s="478" t="str">
        <f>IFERROR(VLOOKUP(G459,MODULY_CBA!$B$3:$I$23,6,0),"")</f>
        <v>Inkrement 1</v>
      </c>
    </row>
    <row r="460" spans="1:17" ht="25.5">
      <c r="A460" s="401">
        <v>458</v>
      </c>
      <c r="B460" s="401" t="s">
        <v>475</v>
      </c>
      <c r="C460" s="530" t="s">
        <v>241</v>
      </c>
      <c r="D460" s="530" t="s">
        <v>930</v>
      </c>
      <c r="E460" s="530"/>
      <c r="F460" s="389" t="s">
        <v>8</v>
      </c>
      <c r="G460" s="389" t="s">
        <v>241</v>
      </c>
      <c r="H460" s="379">
        <v>2</v>
      </c>
      <c r="I460" s="379">
        <v>15</v>
      </c>
      <c r="J460" s="379">
        <f t="shared" si="31"/>
        <v>2</v>
      </c>
      <c r="K460" s="379">
        <f t="shared" si="32"/>
        <v>30</v>
      </c>
      <c r="L460" s="643">
        <f>IFERROR(IF(B460="funkcna poziadavka",VLOOKUP(G460,MODULY_CBA!$B$3:$E$23,4,0)*H460/SUMIFS($H$3:$H$199,$G$3:$G$199,G460,$B$3:$B$199,B460),),)</f>
        <v>0</v>
      </c>
      <c r="M460" s="379">
        <f>IFERROR(IF(B460="Funkcna poziadavka",VLOOKUP(G460,MODULY_CBA!$B$3:$E$23,3,0),),)</f>
        <v>0.93499999999999994</v>
      </c>
      <c r="N460" s="379">
        <f>IFERROR(IF(B460="funkcna poziadavka",VLOOKUP(G460,MODULY_CBA!$B$3:$E$23,2,0),),)</f>
        <v>1.18</v>
      </c>
      <c r="O460" s="378">
        <f t="shared" si="33"/>
        <v>33.098999999999997</v>
      </c>
      <c r="P460" s="377">
        <f>IFERROR(O460*VLOOKUP(G460,MODULY_CBA!$B$3:$F$23,5,0),)</f>
        <v>827.47499999999991</v>
      </c>
      <c r="Q460" s="478" t="str">
        <f>IFERROR(VLOOKUP(G460,MODULY_CBA!$B$3:$I$23,6,0),"")</f>
        <v>Inkrement 1</v>
      </c>
    </row>
    <row r="461" spans="1:17" ht="25.5">
      <c r="A461" s="401">
        <v>459</v>
      </c>
      <c r="B461" s="401" t="s">
        <v>475</v>
      </c>
      <c r="C461" s="530" t="s">
        <v>241</v>
      </c>
      <c r="D461" s="530" t="s">
        <v>931</v>
      </c>
      <c r="E461" s="530"/>
      <c r="F461" s="389" t="s">
        <v>8</v>
      </c>
      <c r="G461" s="389" t="s">
        <v>241</v>
      </c>
      <c r="H461" s="379">
        <v>2</v>
      </c>
      <c r="I461" s="379">
        <v>15</v>
      </c>
      <c r="J461" s="379">
        <f t="shared" si="31"/>
        <v>2</v>
      </c>
      <c r="K461" s="379">
        <f t="shared" si="32"/>
        <v>30</v>
      </c>
      <c r="L461" s="643">
        <f>IFERROR(IF(B461="funkcna poziadavka",VLOOKUP(G461,MODULY_CBA!$B$3:$E$23,4,0)*H461/SUMIFS($H$3:$H$199,$G$3:$G$199,G461,$B$3:$B$199,B461),),)</f>
        <v>0</v>
      </c>
      <c r="M461" s="379">
        <f>IFERROR(IF(B461="Funkcna poziadavka",VLOOKUP(G461,MODULY_CBA!$B$3:$E$23,3,0),),)</f>
        <v>0.93499999999999994</v>
      </c>
      <c r="N461" s="379">
        <f>IFERROR(IF(B461="funkcna poziadavka",VLOOKUP(G461,MODULY_CBA!$B$3:$E$23,2,0),),)</f>
        <v>1.18</v>
      </c>
      <c r="O461" s="378">
        <f t="shared" si="33"/>
        <v>33.098999999999997</v>
      </c>
      <c r="P461" s="377">
        <f>IFERROR(O461*VLOOKUP(G461,MODULY_CBA!$B$3:$F$23,5,0),)</f>
        <v>827.47499999999991</v>
      </c>
      <c r="Q461" s="478" t="str">
        <f>IFERROR(VLOOKUP(G461,MODULY_CBA!$B$3:$I$23,6,0),"")</f>
        <v>Inkrement 1</v>
      </c>
    </row>
    <row r="462" spans="1:17" ht="25.5">
      <c r="A462" s="401">
        <v>460</v>
      </c>
      <c r="B462" s="401" t="s">
        <v>475</v>
      </c>
      <c r="C462" s="530" t="s">
        <v>241</v>
      </c>
      <c r="D462" s="530" t="s">
        <v>932</v>
      </c>
      <c r="E462" s="530"/>
      <c r="F462" s="389" t="s">
        <v>8</v>
      </c>
      <c r="G462" s="389" t="s">
        <v>241</v>
      </c>
      <c r="H462" s="379">
        <v>2</v>
      </c>
      <c r="I462" s="379">
        <v>15</v>
      </c>
      <c r="J462" s="379">
        <f t="shared" si="31"/>
        <v>2</v>
      </c>
      <c r="K462" s="379">
        <f t="shared" si="32"/>
        <v>30</v>
      </c>
      <c r="L462" s="643">
        <f>IFERROR(IF(B462="funkcna poziadavka",VLOOKUP(G462,MODULY_CBA!$B$3:$E$23,4,0)*H462/SUMIFS($H$3:$H$199,$G$3:$G$199,G462,$B$3:$B$199,B462),),)</f>
        <v>0</v>
      </c>
      <c r="M462" s="379">
        <f>IFERROR(IF(B462="Funkcna poziadavka",VLOOKUP(G462,MODULY_CBA!$B$3:$E$23,3,0),),)</f>
        <v>0.93499999999999994</v>
      </c>
      <c r="N462" s="379">
        <f>IFERROR(IF(B462="funkcna poziadavka",VLOOKUP(G462,MODULY_CBA!$B$3:$E$23,2,0),),)</f>
        <v>1.18</v>
      </c>
      <c r="O462" s="378">
        <f t="shared" si="33"/>
        <v>33.098999999999997</v>
      </c>
      <c r="P462" s="377">
        <f>IFERROR(O462*VLOOKUP(G462,MODULY_CBA!$B$3:$F$23,5,0),)</f>
        <v>827.47499999999991</v>
      </c>
      <c r="Q462" s="478" t="str">
        <f>IFERROR(VLOOKUP(G462,MODULY_CBA!$B$3:$I$23,6,0),"")</f>
        <v>Inkrement 1</v>
      </c>
    </row>
    <row r="463" spans="1:17" ht="25.5">
      <c r="A463" s="401">
        <v>461</v>
      </c>
      <c r="B463" s="401" t="s">
        <v>475</v>
      </c>
      <c r="C463" s="530" t="s">
        <v>241</v>
      </c>
      <c r="D463" s="530" t="s">
        <v>933</v>
      </c>
      <c r="E463" s="530"/>
      <c r="F463" s="389" t="s">
        <v>8</v>
      </c>
      <c r="G463" s="389" t="s">
        <v>241</v>
      </c>
      <c r="H463" s="379">
        <v>2</v>
      </c>
      <c r="I463" s="379">
        <v>15</v>
      </c>
      <c r="J463" s="379">
        <f t="shared" si="31"/>
        <v>2</v>
      </c>
      <c r="K463" s="379">
        <f t="shared" si="32"/>
        <v>30</v>
      </c>
      <c r="L463" s="643">
        <f>IFERROR(IF(B463="funkcna poziadavka",VLOOKUP(G463,MODULY_CBA!$B$3:$E$23,4,0)*H463/SUMIFS($H$3:$H$199,$G$3:$G$199,G463,$B$3:$B$199,B463),),)</f>
        <v>0</v>
      </c>
      <c r="M463" s="379">
        <f>IFERROR(IF(B463="Funkcna poziadavka",VLOOKUP(G463,MODULY_CBA!$B$3:$E$23,3,0),),)</f>
        <v>0.93499999999999994</v>
      </c>
      <c r="N463" s="379">
        <f>IFERROR(IF(B463="funkcna poziadavka",VLOOKUP(G463,MODULY_CBA!$B$3:$E$23,2,0),),)</f>
        <v>1.18</v>
      </c>
      <c r="O463" s="378">
        <f t="shared" si="33"/>
        <v>33.098999999999997</v>
      </c>
      <c r="P463" s="377">
        <f>IFERROR(O463*VLOOKUP(G463,MODULY_CBA!$B$3:$F$23,5,0),)</f>
        <v>827.47499999999991</v>
      </c>
      <c r="Q463" s="478" t="str">
        <f>IFERROR(VLOOKUP(G463,MODULY_CBA!$B$3:$I$23,6,0),"")</f>
        <v>Inkrement 1</v>
      </c>
    </row>
    <row r="464" spans="1:17" ht="25.5">
      <c r="A464" s="401">
        <v>462</v>
      </c>
      <c r="B464" s="401" t="s">
        <v>475</v>
      </c>
      <c r="C464" s="530" t="s">
        <v>241</v>
      </c>
      <c r="D464" s="530" t="s">
        <v>934</v>
      </c>
      <c r="E464" s="530"/>
      <c r="F464" s="389" t="s">
        <v>8</v>
      </c>
      <c r="G464" s="389" t="s">
        <v>241</v>
      </c>
      <c r="H464" s="379">
        <v>2</v>
      </c>
      <c r="I464" s="379">
        <v>15</v>
      </c>
      <c r="J464" s="379">
        <f t="shared" si="31"/>
        <v>2</v>
      </c>
      <c r="K464" s="379">
        <f t="shared" si="29"/>
        <v>30</v>
      </c>
      <c r="L464" s="643">
        <f>IFERROR(IF(B464="funkcna poziadavka",VLOOKUP(G464,MODULY_CBA!$B$3:$E$23,4,0)*H464/SUMIFS($H$3:$H$199,$G$3:$G$199,G464,$B$3:$B$199,B464),),)</f>
        <v>0</v>
      </c>
      <c r="M464" s="379">
        <f>IFERROR(IF(B464="Funkcna poziadavka",VLOOKUP(G464,MODULY_CBA!$B$3:$E$23,3,0),),)</f>
        <v>0.93499999999999994</v>
      </c>
      <c r="N464" s="379">
        <f>IFERROR(IF(B464="funkcna poziadavka",VLOOKUP(G464,MODULY_CBA!$B$3:$E$23,2,0),),)</f>
        <v>1.18</v>
      </c>
      <c r="O464" s="378">
        <f t="shared" si="30"/>
        <v>33.098999999999997</v>
      </c>
      <c r="P464" s="377">
        <f>IFERROR(O464*VLOOKUP(G464,MODULY_CBA!$B$3:$F$23,5,0),)</f>
        <v>827.47499999999991</v>
      </c>
      <c r="Q464" s="478" t="str">
        <f>IFERROR(VLOOKUP(G464,MODULY_CBA!$B$3:$I$23,6,0),"")</f>
        <v>Inkrement 1</v>
      </c>
    </row>
    <row r="465" spans="1:17" ht="25.5">
      <c r="A465" s="401">
        <v>463</v>
      </c>
      <c r="B465" s="401" t="s">
        <v>475</v>
      </c>
      <c r="C465" s="530" t="s">
        <v>241</v>
      </c>
      <c r="D465" s="530" t="s">
        <v>935</v>
      </c>
      <c r="E465" s="530"/>
      <c r="F465" s="389" t="s">
        <v>8</v>
      </c>
      <c r="G465" s="389" t="s">
        <v>241</v>
      </c>
      <c r="H465" s="379">
        <v>2</v>
      </c>
      <c r="I465" s="379">
        <v>15</v>
      </c>
      <c r="J465" s="379">
        <f t="shared" si="31"/>
        <v>2</v>
      </c>
      <c r="K465" s="379">
        <f t="shared" si="29"/>
        <v>30</v>
      </c>
      <c r="L465" s="643">
        <f>IFERROR(IF(B465="funkcna poziadavka",VLOOKUP(G465,MODULY_CBA!$B$3:$E$23,4,0)*H465/SUMIFS($H$3:$H$199,$G$3:$G$199,G465,$B$3:$B$199,B465),),)</f>
        <v>0</v>
      </c>
      <c r="M465" s="379">
        <f>IFERROR(IF(B465="Funkcna poziadavka",VLOOKUP(G465,MODULY_CBA!$B$3:$E$23,3,0),),)</f>
        <v>0.93499999999999994</v>
      </c>
      <c r="N465" s="379">
        <f>IFERROR(IF(B465="funkcna poziadavka",VLOOKUP(G465,MODULY_CBA!$B$3:$E$23,2,0),),)</f>
        <v>1.18</v>
      </c>
      <c r="O465" s="378">
        <f t="shared" si="30"/>
        <v>33.098999999999997</v>
      </c>
      <c r="P465" s="377">
        <f>IFERROR(O465*VLOOKUP(G465,MODULY_CBA!$B$3:$F$23,5,0),)</f>
        <v>827.47499999999991</v>
      </c>
      <c r="Q465" s="478" t="str">
        <f>IFERROR(VLOOKUP(G465,MODULY_CBA!$B$3:$I$23,6,0),"")</f>
        <v>Inkrement 1</v>
      </c>
    </row>
    <row r="466" spans="1:17" ht="25.5">
      <c r="A466" s="401">
        <v>464</v>
      </c>
      <c r="B466" s="401" t="s">
        <v>475</v>
      </c>
      <c r="C466" s="530" t="s">
        <v>241</v>
      </c>
      <c r="D466" s="530" t="s">
        <v>936</v>
      </c>
      <c r="E466" s="530"/>
      <c r="F466" s="389" t="s">
        <v>8</v>
      </c>
      <c r="G466" s="389" t="s">
        <v>241</v>
      </c>
      <c r="H466" s="379">
        <v>2</v>
      </c>
      <c r="I466" s="379">
        <v>15</v>
      </c>
      <c r="J466" s="379">
        <f t="shared" si="31"/>
        <v>2</v>
      </c>
      <c r="K466" s="379">
        <f t="shared" si="29"/>
        <v>30</v>
      </c>
      <c r="L466" s="643">
        <f>IFERROR(IF(B466="funkcna poziadavka",VLOOKUP(G466,MODULY_CBA!$B$3:$E$23,4,0)*H466/SUMIFS($H$3:$H$199,$G$3:$G$199,G466,$B$3:$B$199,B466),),)</f>
        <v>0</v>
      </c>
      <c r="M466" s="379">
        <f>IFERROR(IF(B466="Funkcna poziadavka",VLOOKUP(G466,MODULY_CBA!$B$3:$E$23,3,0),),)</f>
        <v>0.93499999999999994</v>
      </c>
      <c r="N466" s="379">
        <f>IFERROR(IF(B466="funkcna poziadavka",VLOOKUP(G466,MODULY_CBA!$B$3:$E$23,2,0),),)</f>
        <v>1.18</v>
      </c>
      <c r="O466" s="378">
        <f t="shared" si="30"/>
        <v>33.098999999999997</v>
      </c>
      <c r="P466" s="377">
        <f>IFERROR(O466*VLOOKUP(G466,MODULY_CBA!$B$3:$F$23,5,0),)</f>
        <v>827.47499999999991</v>
      </c>
      <c r="Q466" s="478" t="str">
        <f>IFERROR(VLOOKUP(G466,MODULY_CBA!$B$3:$I$23,6,0),"")</f>
        <v>Inkrement 1</v>
      </c>
    </row>
    <row r="467" spans="1:17" ht="25.5">
      <c r="A467" s="401">
        <v>465</v>
      </c>
      <c r="B467" s="401" t="s">
        <v>475</v>
      </c>
      <c r="C467" s="530" t="s">
        <v>241</v>
      </c>
      <c r="D467" s="530" t="s">
        <v>937</v>
      </c>
      <c r="E467" s="530"/>
      <c r="F467" s="389" t="s">
        <v>8</v>
      </c>
      <c r="G467" s="389" t="s">
        <v>241</v>
      </c>
      <c r="H467" s="379">
        <v>2</v>
      </c>
      <c r="I467" s="379">
        <v>15</v>
      </c>
      <c r="J467" s="379">
        <f t="shared" si="31"/>
        <v>2</v>
      </c>
      <c r="K467" s="379">
        <f t="shared" ref="K467" si="34">H467*I467</f>
        <v>30</v>
      </c>
      <c r="L467" s="643">
        <f>IFERROR(IF(B467="funkcna poziadavka",VLOOKUP(G467,MODULY_CBA!$B$3:$E$23,4,0)*H467/SUMIFS($H$3:$H$199,$G$3:$G$199,G467,$B$3:$B$199,B467),),)</f>
        <v>0</v>
      </c>
      <c r="M467" s="379">
        <f>IFERROR(IF(B467="Funkcna poziadavka",VLOOKUP(G467,MODULY_CBA!$B$3:$E$23,3,0),),)</f>
        <v>0.93499999999999994</v>
      </c>
      <c r="N467" s="379">
        <f>IFERROR(IF(B467="funkcna poziadavka",VLOOKUP(G467,MODULY_CBA!$B$3:$E$23,2,0),),)</f>
        <v>1.18</v>
      </c>
      <c r="O467" s="378">
        <f t="shared" ref="O467" si="35">(K467+L467)*M467*N467</f>
        <v>33.098999999999997</v>
      </c>
      <c r="P467" s="377">
        <f>IFERROR(O467*VLOOKUP(G467,MODULY_CBA!$B$3:$F$23,5,0),)</f>
        <v>827.47499999999991</v>
      </c>
      <c r="Q467" s="478" t="str">
        <f>IFERROR(VLOOKUP(G467,MODULY_CBA!$B$3:$I$23,6,0),"")</f>
        <v>Inkrement 1</v>
      </c>
    </row>
    <row r="468" spans="1:17" ht="25.5">
      <c r="A468" s="401">
        <v>466</v>
      </c>
      <c r="B468" s="401" t="s">
        <v>475</v>
      </c>
      <c r="C468" s="530" t="s">
        <v>241</v>
      </c>
      <c r="D468" s="530" t="s">
        <v>938</v>
      </c>
      <c r="E468" s="530"/>
      <c r="F468" s="389" t="s">
        <v>8</v>
      </c>
      <c r="G468" s="389" t="s">
        <v>241</v>
      </c>
      <c r="H468" s="379">
        <v>2</v>
      </c>
      <c r="I468" s="379">
        <v>15</v>
      </c>
      <c r="J468" s="379">
        <f t="shared" si="31"/>
        <v>2</v>
      </c>
      <c r="K468" s="379">
        <f t="shared" si="29"/>
        <v>30</v>
      </c>
      <c r="L468" s="643">
        <f>IFERROR(IF(B468="funkcna poziadavka",VLOOKUP(G468,MODULY_CBA!$B$3:$E$23,4,0)*H468/SUMIFS($H$3:$H$199,$G$3:$G$199,G468,$B$3:$B$199,B468),),)</f>
        <v>0</v>
      </c>
      <c r="M468" s="379">
        <f>IFERROR(IF(B468="Funkcna poziadavka",VLOOKUP(G468,MODULY_CBA!$B$3:$E$23,3,0),),)</f>
        <v>0.93499999999999994</v>
      </c>
      <c r="N468" s="379">
        <f>IFERROR(IF(B468="funkcna poziadavka",VLOOKUP(G468,MODULY_CBA!$B$3:$E$23,2,0),),)</f>
        <v>1.18</v>
      </c>
      <c r="O468" s="378">
        <f t="shared" si="30"/>
        <v>33.098999999999997</v>
      </c>
      <c r="P468" s="377">
        <f>IFERROR(O468*VLOOKUP(G468,MODULY_CBA!$B$3:$F$23,5,0),)</f>
        <v>827.47499999999991</v>
      </c>
      <c r="Q468" s="478" t="str">
        <f>IFERROR(VLOOKUP(G468,MODULY_CBA!$B$3:$I$23,6,0),"")</f>
        <v>Inkrement 1</v>
      </c>
    </row>
    <row r="469" spans="1:17" ht="25.5">
      <c r="A469" s="401">
        <v>467</v>
      </c>
      <c r="B469" s="401" t="s">
        <v>939</v>
      </c>
      <c r="C469" s="530" t="s">
        <v>940</v>
      </c>
      <c r="D469" s="530" t="s">
        <v>941</v>
      </c>
      <c r="E469" s="530"/>
      <c r="F469" s="389" t="s">
        <v>8</v>
      </c>
      <c r="G469" s="389" t="s">
        <v>258</v>
      </c>
      <c r="H469" s="379">
        <v>1</v>
      </c>
      <c r="I469" s="379">
        <v>15</v>
      </c>
      <c r="J469" s="379">
        <f t="shared" si="31"/>
        <v>1</v>
      </c>
      <c r="K469" s="379">
        <f t="shared" si="29"/>
        <v>15</v>
      </c>
      <c r="L469" s="643">
        <f>IFERROR(IF(B469="funkcna poziadavka",VLOOKUP(G469,MODULY_CBA!$B$3:$E$23,4,0)*H469/SUMIFS($H$3:$H$199,$G$3:$G$199,G469,$B$3:$B$199,B469),),)</f>
        <v>0</v>
      </c>
      <c r="M469" s="379">
        <f>IFERROR(IF(B469="Funkcna poziadavka",VLOOKUP(G469,MODULY_CBA!$B$3:$E$23,3,0),),)</f>
        <v>0</v>
      </c>
      <c r="N469" s="379">
        <f>IFERROR(IF(B469="funkcna poziadavka",VLOOKUP(G469,MODULY_CBA!$B$3:$E$23,2,0),),)</f>
        <v>0</v>
      </c>
      <c r="O469" s="378">
        <f t="shared" si="30"/>
        <v>0</v>
      </c>
      <c r="P469" s="377">
        <f>IFERROR(O469*VLOOKUP(G469,MODULY_CBA!$B$3:$F$23,5,0),)</f>
        <v>0</v>
      </c>
      <c r="Q469" s="478" t="str">
        <f>IFERROR(VLOOKUP(G469,MODULY_CBA!$B$3:$I$23,6,0),"")</f>
        <v>Inkrement 2</v>
      </c>
    </row>
    <row r="470" spans="1:17" ht="25.5">
      <c r="A470" s="401">
        <v>468</v>
      </c>
      <c r="B470" s="401" t="s">
        <v>939</v>
      </c>
      <c r="C470" s="530" t="s">
        <v>940</v>
      </c>
      <c r="D470" s="530" t="s">
        <v>942</v>
      </c>
      <c r="E470" s="530"/>
      <c r="F470" s="389" t="s">
        <v>8</v>
      </c>
      <c r="G470" s="389" t="s">
        <v>258</v>
      </c>
      <c r="H470" s="379">
        <v>1</v>
      </c>
      <c r="I470" s="379">
        <v>15</v>
      </c>
      <c r="J470" s="379">
        <f t="shared" si="31"/>
        <v>1</v>
      </c>
      <c r="K470" s="379">
        <f t="shared" si="29"/>
        <v>15</v>
      </c>
      <c r="L470" s="643">
        <f>IFERROR(IF(B470="funkcna poziadavka",VLOOKUP(G470,MODULY_CBA!$B$3:$E$23,4,0)*H470/SUMIFS($H$3:$H$199,$G$3:$G$199,G470,$B$3:$B$199,B470),),)</f>
        <v>0</v>
      </c>
      <c r="M470" s="379">
        <f>IFERROR(IF(B470="Funkcna poziadavka",VLOOKUP(G470,MODULY_CBA!$B$3:$E$23,3,0),),)</f>
        <v>0</v>
      </c>
      <c r="N470" s="379">
        <f>IFERROR(IF(B470="funkcna poziadavka",VLOOKUP(G470,MODULY_CBA!$B$3:$E$23,2,0),),)</f>
        <v>0</v>
      </c>
      <c r="O470" s="378">
        <f t="shared" si="30"/>
        <v>0</v>
      </c>
      <c r="P470" s="377">
        <f>IFERROR(O470*VLOOKUP(G470,MODULY_CBA!$B$3:$F$23,5,0),)</f>
        <v>0</v>
      </c>
      <c r="Q470" s="478" t="str">
        <f>IFERROR(VLOOKUP(G470,MODULY_CBA!$B$3:$I$23,6,0),"")</f>
        <v>Inkrement 2</v>
      </c>
    </row>
    <row r="471" spans="1:17" ht="25.5">
      <c r="A471" s="401">
        <v>469</v>
      </c>
      <c r="B471" s="401" t="s">
        <v>939</v>
      </c>
      <c r="C471" s="530" t="s">
        <v>940</v>
      </c>
      <c r="D471" s="530" t="s">
        <v>943</v>
      </c>
      <c r="E471" s="530"/>
      <c r="F471" s="389" t="s">
        <v>8</v>
      </c>
      <c r="G471" s="389" t="s">
        <v>258</v>
      </c>
      <c r="H471" s="379">
        <v>1</v>
      </c>
      <c r="I471" s="379">
        <v>15</v>
      </c>
      <c r="J471" s="379">
        <f t="shared" si="31"/>
        <v>1</v>
      </c>
      <c r="K471" s="379">
        <f t="shared" si="29"/>
        <v>15</v>
      </c>
      <c r="L471" s="643">
        <f>IFERROR(IF(B471="funkcna poziadavka",VLOOKUP(G471,MODULY_CBA!$B$3:$E$23,4,0)*H471/SUMIFS($H$3:$H$199,$G$3:$G$199,G471,$B$3:$B$199,B471),),)</f>
        <v>0</v>
      </c>
      <c r="M471" s="379">
        <f>IFERROR(IF(B471="Funkcna poziadavka",VLOOKUP(G471,MODULY_CBA!$B$3:$E$23,3,0),),)</f>
        <v>0</v>
      </c>
      <c r="N471" s="379">
        <f>IFERROR(IF(B471="funkcna poziadavka",VLOOKUP(G471,MODULY_CBA!$B$3:$E$23,2,0),),)</f>
        <v>0</v>
      </c>
      <c r="O471" s="378">
        <f t="shared" si="30"/>
        <v>0</v>
      </c>
      <c r="P471" s="377">
        <f>IFERROR(O471*VLOOKUP(G471,MODULY_CBA!$B$3:$F$23,5,0),)</f>
        <v>0</v>
      </c>
      <c r="Q471" s="478" t="str">
        <f>IFERROR(VLOOKUP(G471,MODULY_CBA!$B$3:$I$23,6,0),"")</f>
        <v>Inkrement 2</v>
      </c>
    </row>
    <row r="472" spans="1:17" ht="25.5">
      <c r="A472" s="401">
        <v>470</v>
      </c>
      <c r="B472" s="401" t="s">
        <v>939</v>
      </c>
      <c r="C472" s="530" t="s">
        <v>940</v>
      </c>
      <c r="D472" s="530" t="s">
        <v>944</v>
      </c>
      <c r="E472" s="530"/>
      <c r="F472" s="389" t="s">
        <v>8</v>
      </c>
      <c r="G472" s="389" t="s">
        <v>258</v>
      </c>
      <c r="H472" s="379">
        <v>1</v>
      </c>
      <c r="I472" s="379">
        <v>15</v>
      </c>
      <c r="J472" s="379">
        <f t="shared" si="31"/>
        <v>1</v>
      </c>
      <c r="K472" s="379">
        <f t="shared" si="29"/>
        <v>15</v>
      </c>
      <c r="L472" s="643">
        <f>IFERROR(IF(B472="funkcna poziadavka",VLOOKUP(G472,MODULY_CBA!$B$3:$E$23,4,0)*H472/SUMIFS($H$3:$H$199,$G$3:$G$199,G472,$B$3:$B$199,B472),),)</f>
        <v>0</v>
      </c>
      <c r="M472" s="379">
        <f>IFERROR(IF(B472="Funkcna poziadavka",VLOOKUP(G472,MODULY_CBA!$B$3:$E$23,3,0),),)</f>
        <v>0</v>
      </c>
      <c r="N472" s="379">
        <f>IFERROR(IF(B472="funkcna poziadavka",VLOOKUP(G472,MODULY_CBA!$B$3:$E$23,2,0),),)</f>
        <v>0</v>
      </c>
      <c r="O472" s="378">
        <f t="shared" si="30"/>
        <v>0</v>
      </c>
      <c r="P472" s="377">
        <f>IFERROR(O472*VLOOKUP(G472,MODULY_CBA!$B$3:$F$23,5,0),)</f>
        <v>0</v>
      </c>
      <c r="Q472" s="478" t="str">
        <f>IFERROR(VLOOKUP(G472,MODULY_CBA!$B$3:$I$23,6,0),"")</f>
        <v>Inkrement 2</v>
      </c>
    </row>
    <row r="473" spans="1:17" ht="25.5">
      <c r="A473" s="401">
        <v>471</v>
      </c>
      <c r="B473" s="401" t="s">
        <v>939</v>
      </c>
      <c r="C473" s="530" t="s">
        <v>940</v>
      </c>
      <c r="D473" s="530" t="s">
        <v>945</v>
      </c>
      <c r="E473" s="530"/>
      <c r="F473" s="389" t="s">
        <v>8</v>
      </c>
      <c r="G473" s="389" t="s">
        <v>258</v>
      </c>
      <c r="H473" s="379">
        <v>1</v>
      </c>
      <c r="I473" s="379">
        <v>15</v>
      </c>
      <c r="J473" s="379">
        <f t="shared" si="31"/>
        <v>1</v>
      </c>
      <c r="K473" s="379">
        <f t="shared" si="29"/>
        <v>15</v>
      </c>
      <c r="L473" s="643">
        <f>IFERROR(IF(B473="funkcna poziadavka",VLOOKUP(G473,MODULY_CBA!$B$3:$E$23,4,0)*H473/SUMIFS($H$3:$H$199,$G$3:$G$199,G473,$B$3:$B$199,B473),),)</f>
        <v>0</v>
      </c>
      <c r="M473" s="379">
        <f>IFERROR(IF(B473="Funkcna poziadavka",VLOOKUP(G473,MODULY_CBA!$B$3:$E$23,3,0),),)</f>
        <v>0</v>
      </c>
      <c r="N473" s="379">
        <f>IFERROR(IF(B473="funkcna poziadavka",VLOOKUP(G473,MODULY_CBA!$B$3:$E$23,2,0),),)</f>
        <v>0</v>
      </c>
      <c r="O473" s="378">
        <f t="shared" si="30"/>
        <v>0</v>
      </c>
      <c r="P473" s="377">
        <f>IFERROR(O473*VLOOKUP(G473,MODULY_CBA!$B$3:$F$23,5,0),)</f>
        <v>0</v>
      </c>
      <c r="Q473" s="478" t="str">
        <f>IFERROR(VLOOKUP(G473,MODULY_CBA!$B$3:$I$23,6,0),"")</f>
        <v>Inkrement 2</v>
      </c>
    </row>
    <row r="474" spans="1:17" ht="25.5">
      <c r="A474" s="401">
        <v>472</v>
      </c>
      <c r="B474" s="401" t="s">
        <v>939</v>
      </c>
      <c r="C474" s="530" t="s">
        <v>940</v>
      </c>
      <c r="D474" s="530" t="s">
        <v>946</v>
      </c>
      <c r="E474" s="530"/>
      <c r="F474" s="389" t="s">
        <v>8</v>
      </c>
      <c r="G474" s="389" t="s">
        <v>258</v>
      </c>
      <c r="H474" s="379">
        <v>1</v>
      </c>
      <c r="I474" s="379">
        <v>15</v>
      </c>
      <c r="J474" s="379">
        <f t="shared" si="31"/>
        <v>1</v>
      </c>
      <c r="K474" s="379">
        <f t="shared" si="29"/>
        <v>15</v>
      </c>
      <c r="L474" s="643">
        <f>IFERROR(IF(B474="funkcna poziadavka",VLOOKUP(G474,MODULY_CBA!$B$3:$E$23,4,0)*H474/SUMIFS($H$3:$H$199,$G$3:$G$199,G474,$B$3:$B$199,B474),),)</f>
        <v>0</v>
      </c>
      <c r="M474" s="379">
        <f>IFERROR(IF(B474="Funkcna poziadavka",VLOOKUP(G474,MODULY_CBA!$B$3:$E$23,3,0),),)</f>
        <v>0</v>
      </c>
      <c r="N474" s="379">
        <f>IFERROR(IF(B474="funkcna poziadavka",VLOOKUP(G474,MODULY_CBA!$B$3:$E$23,2,0),),)</f>
        <v>0</v>
      </c>
      <c r="O474" s="378">
        <f t="shared" si="30"/>
        <v>0</v>
      </c>
      <c r="P474" s="377">
        <f>IFERROR(O474*VLOOKUP(G474,MODULY_CBA!$B$3:$F$23,5,0),)</f>
        <v>0</v>
      </c>
      <c r="Q474" s="478" t="str">
        <f>IFERROR(VLOOKUP(G474,MODULY_CBA!$B$3:$I$23,6,0),"")</f>
        <v>Inkrement 2</v>
      </c>
    </row>
    <row r="475" spans="1:17" ht="25.5">
      <c r="A475" s="401">
        <v>473</v>
      </c>
      <c r="B475" s="401" t="s">
        <v>939</v>
      </c>
      <c r="C475" s="530" t="s">
        <v>940</v>
      </c>
      <c r="D475" s="530" t="s">
        <v>947</v>
      </c>
      <c r="E475" s="530"/>
      <c r="F475" s="389" t="s">
        <v>8</v>
      </c>
      <c r="G475" s="389" t="s">
        <v>258</v>
      </c>
      <c r="H475" s="379">
        <v>1</v>
      </c>
      <c r="I475" s="379">
        <v>15</v>
      </c>
      <c r="J475" s="379">
        <f t="shared" si="31"/>
        <v>1</v>
      </c>
      <c r="K475" s="379">
        <f t="shared" si="29"/>
        <v>15</v>
      </c>
      <c r="L475" s="643">
        <f>IFERROR(IF(B475="funkcna poziadavka",VLOOKUP(G475,MODULY_CBA!$B$3:$E$23,4,0)*H475/SUMIFS($H$3:$H$199,$G$3:$G$199,G475,$B$3:$B$199,B475),),)</f>
        <v>0</v>
      </c>
      <c r="M475" s="379">
        <f>IFERROR(IF(B475="Funkcna poziadavka",VLOOKUP(G475,MODULY_CBA!$B$3:$E$23,3,0),),)</f>
        <v>0</v>
      </c>
      <c r="N475" s="379">
        <f>IFERROR(IF(B475="funkcna poziadavka",VLOOKUP(G475,MODULY_CBA!$B$3:$E$23,2,0),),)</f>
        <v>0</v>
      </c>
      <c r="O475" s="378">
        <f t="shared" si="30"/>
        <v>0</v>
      </c>
      <c r="P475" s="377">
        <f>IFERROR(O475*VLOOKUP(G475,MODULY_CBA!$B$3:$F$23,5,0),)</f>
        <v>0</v>
      </c>
      <c r="Q475" s="478" t="str">
        <f>IFERROR(VLOOKUP(G475,MODULY_CBA!$B$3:$I$23,6,0),"")</f>
        <v>Inkrement 2</v>
      </c>
    </row>
    <row r="476" spans="1:17" ht="25.5">
      <c r="A476" s="401">
        <v>474</v>
      </c>
      <c r="B476" s="401" t="s">
        <v>939</v>
      </c>
      <c r="C476" s="530" t="s">
        <v>940</v>
      </c>
      <c r="D476" s="530" t="s">
        <v>948</v>
      </c>
      <c r="E476" s="530"/>
      <c r="F476" s="389" t="s">
        <v>8</v>
      </c>
      <c r="G476" s="389" t="s">
        <v>258</v>
      </c>
      <c r="H476" s="379">
        <v>1</v>
      </c>
      <c r="I476" s="379">
        <v>15</v>
      </c>
      <c r="J476" s="379">
        <f t="shared" si="31"/>
        <v>1</v>
      </c>
      <c r="K476" s="379">
        <f t="shared" si="29"/>
        <v>15</v>
      </c>
      <c r="L476" s="643">
        <f>IFERROR(IF(B476="funkcna poziadavka",VLOOKUP(G476,MODULY_CBA!$B$3:$E$23,4,0)*H476/SUMIFS($H$3:$H$199,$G$3:$G$199,G476,$B$3:$B$199,B476),),)</f>
        <v>0</v>
      </c>
      <c r="M476" s="379">
        <f>IFERROR(IF(B476="Funkcna poziadavka",VLOOKUP(G476,MODULY_CBA!$B$3:$E$23,3,0),),)</f>
        <v>0</v>
      </c>
      <c r="N476" s="379">
        <f>IFERROR(IF(B476="funkcna poziadavka",VLOOKUP(G476,MODULY_CBA!$B$3:$E$23,2,0),),)</f>
        <v>0</v>
      </c>
      <c r="O476" s="378">
        <f t="shared" si="30"/>
        <v>0</v>
      </c>
      <c r="P476" s="377">
        <f>IFERROR(O476*VLOOKUP(G476,MODULY_CBA!$B$3:$F$23,5,0),)</f>
        <v>0</v>
      </c>
      <c r="Q476" s="478" t="str">
        <f>IFERROR(VLOOKUP(G476,MODULY_CBA!$B$3:$I$23,6,0),"")</f>
        <v>Inkrement 2</v>
      </c>
    </row>
    <row r="477" spans="1:17" ht="51">
      <c r="A477" s="401">
        <v>475</v>
      </c>
      <c r="B477" s="401" t="s">
        <v>939</v>
      </c>
      <c r="C477" s="530" t="s">
        <v>940</v>
      </c>
      <c r="D477" s="530" t="s">
        <v>949</v>
      </c>
      <c r="E477" s="530"/>
      <c r="F477" s="389" t="s">
        <v>8</v>
      </c>
      <c r="G477" s="389" t="s">
        <v>258</v>
      </c>
      <c r="H477" s="379">
        <v>1</v>
      </c>
      <c r="I477" s="379">
        <v>15</v>
      </c>
      <c r="J477" s="379">
        <f t="shared" si="31"/>
        <v>1</v>
      </c>
      <c r="K477" s="379">
        <f t="shared" si="29"/>
        <v>15</v>
      </c>
      <c r="L477" s="643">
        <f>IFERROR(IF(B477="funkcna poziadavka",VLOOKUP(G477,MODULY_CBA!$B$3:$E$23,4,0)*H477/SUMIFS($H$3:$H$199,$G$3:$G$199,G477,$B$3:$B$199,B477),),)</f>
        <v>0</v>
      </c>
      <c r="M477" s="379">
        <f>IFERROR(IF(B477="Funkcna poziadavka",VLOOKUP(G477,MODULY_CBA!$B$3:$E$23,3,0),),)</f>
        <v>0</v>
      </c>
      <c r="N477" s="379">
        <f>IFERROR(IF(B477="funkcna poziadavka",VLOOKUP(G477,MODULY_CBA!$B$3:$E$23,2,0),),)</f>
        <v>0</v>
      </c>
      <c r="O477" s="378">
        <f t="shared" si="30"/>
        <v>0</v>
      </c>
      <c r="P477" s="377">
        <f>IFERROR(O477*VLOOKUP(G477,MODULY_CBA!$B$3:$F$23,5,0),)</f>
        <v>0</v>
      </c>
      <c r="Q477" s="478" t="str">
        <f>IFERROR(VLOOKUP(G477,MODULY_CBA!$B$3:$I$23,6,0),"")</f>
        <v>Inkrement 2</v>
      </c>
    </row>
    <row r="478" spans="1:17" ht="25.5">
      <c r="A478" s="401">
        <v>476</v>
      </c>
      <c r="B478" s="401" t="s">
        <v>939</v>
      </c>
      <c r="C478" s="530" t="s">
        <v>940</v>
      </c>
      <c r="D478" s="530" t="s">
        <v>950</v>
      </c>
      <c r="E478" s="530"/>
      <c r="F478" s="389" t="s">
        <v>8</v>
      </c>
      <c r="G478" s="389" t="s">
        <v>258</v>
      </c>
      <c r="H478" s="379">
        <v>1</v>
      </c>
      <c r="I478" s="379">
        <v>15</v>
      </c>
      <c r="J478" s="379">
        <f t="shared" si="31"/>
        <v>1</v>
      </c>
      <c r="K478" s="379">
        <f t="shared" si="29"/>
        <v>15</v>
      </c>
      <c r="L478" s="643">
        <f>IFERROR(IF(B478="funkcna poziadavka",VLOOKUP(G478,MODULY_CBA!$B$3:$E$23,4,0)*H478/SUMIFS($H$3:$H$199,$G$3:$G$199,G478,$B$3:$B$199,B478),),)</f>
        <v>0</v>
      </c>
      <c r="M478" s="379">
        <f>IFERROR(IF(B478="Funkcna poziadavka",VLOOKUP(G478,MODULY_CBA!$B$3:$E$23,3,0),),)</f>
        <v>0</v>
      </c>
      <c r="N478" s="379">
        <f>IFERROR(IF(B478="funkcna poziadavka",VLOOKUP(G478,MODULY_CBA!$B$3:$E$23,2,0),),)</f>
        <v>0</v>
      </c>
      <c r="O478" s="378">
        <f t="shared" si="30"/>
        <v>0</v>
      </c>
      <c r="P478" s="377">
        <f>IFERROR(O478*VLOOKUP(G478,MODULY_CBA!$B$3:$F$23,5,0),)</f>
        <v>0</v>
      </c>
      <c r="Q478" s="478" t="str">
        <f>IFERROR(VLOOKUP(G478,MODULY_CBA!$B$3:$I$23,6,0),"")</f>
        <v>Inkrement 2</v>
      </c>
    </row>
    <row r="479" spans="1:17" ht="25.5">
      <c r="A479" s="401">
        <v>477</v>
      </c>
      <c r="B479" s="401" t="s">
        <v>939</v>
      </c>
      <c r="C479" s="530" t="s">
        <v>951</v>
      </c>
      <c r="D479" s="530" t="s">
        <v>952</v>
      </c>
      <c r="E479" s="530"/>
      <c r="F479" s="389" t="s">
        <v>8</v>
      </c>
      <c r="G479" s="389" t="s">
        <v>258</v>
      </c>
      <c r="H479" s="379">
        <v>1</v>
      </c>
      <c r="I479" s="379">
        <v>15</v>
      </c>
      <c r="J479" s="379">
        <f t="shared" si="31"/>
        <v>1</v>
      </c>
      <c r="K479" s="379">
        <f t="shared" si="29"/>
        <v>15</v>
      </c>
      <c r="L479" s="643">
        <f>IFERROR(IF(B479="funkcna poziadavka",VLOOKUP(G479,MODULY_CBA!$B$3:$E$23,4,0)*H479/SUMIFS($H$3:$H$199,$G$3:$G$199,G479,$B$3:$B$199,B479),),)</f>
        <v>0</v>
      </c>
      <c r="M479" s="379">
        <f>IFERROR(IF(B479="Funkcna poziadavka",VLOOKUP(G479,MODULY_CBA!$B$3:$E$23,3,0),),)</f>
        <v>0</v>
      </c>
      <c r="N479" s="379">
        <f>IFERROR(IF(B479="funkcna poziadavka",VLOOKUP(G479,MODULY_CBA!$B$3:$E$23,2,0),),)</f>
        <v>0</v>
      </c>
      <c r="O479" s="378">
        <f t="shared" si="30"/>
        <v>0</v>
      </c>
      <c r="P479" s="377">
        <f>IFERROR(O479*VLOOKUP(G479,MODULY_CBA!$B$3:$F$23,5,0),)</f>
        <v>0</v>
      </c>
      <c r="Q479" s="478" t="str">
        <f>IFERROR(VLOOKUP(G479,MODULY_CBA!$B$3:$I$23,6,0),"")</f>
        <v>Inkrement 2</v>
      </c>
    </row>
    <row r="480" spans="1:17" ht="25.5">
      <c r="A480" s="401">
        <v>478</v>
      </c>
      <c r="B480" s="401" t="s">
        <v>939</v>
      </c>
      <c r="C480" s="530" t="s">
        <v>953</v>
      </c>
      <c r="D480" s="530" t="s">
        <v>953</v>
      </c>
      <c r="E480" s="530"/>
      <c r="F480" s="389" t="s">
        <v>8</v>
      </c>
      <c r="G480" s="389" t="s">
        <v>258</v>
      </c>
      <c r="H480" s="379">
        <v>1</v>
      </c>
      <c r="I480" s="379">
        <v>15</v>
      </c>
      <c r="J480" s="379">
        <f t="shared" si="31"/>
        <v>1</v>
      </c>
      <c r="K480" s="379">
        <f t="shared" si="29"/>
        <v>15</v>
      </c>
      <c r="L480" s="643">
        <f>IFERROR(IF(B480="funkcna poziadavka",VLOOKUP(G480,MODULY_CBA!$B$3:$E$23,4,0)*H480/SUMIFS($H$3:$H$199,$G$3:$G$199,G480,$B$3:$B$199,B480),),)</f>
        <v>0</v>
      </c>
      <c r="M480" s="379">
        <f>IFERROR(IF(B480="Funkcna poziadavka",VLOOKUP(G480,MODULY_CBA!$B$3:$E$23,3,0),),)</f>
        <v>0</v>
      </c>
      <c r="N480" s="379">
        <f>IFERROR(IF(B480="funkcna poziadavka",VLOOKUP(G480,MODULY_CBA!$B$3:$E$23,2,0),),)</f>
        <v>0</v>
      </c>
      <c r="O480" s="378">
        <f t="shared" si="30"/>
        <v>0</v>
      </c>
      <c r="P480" s="377">
        <f>IFERROR(O480*VLOOKUP(G480,MODULY_CBA!$B$3:$F$23,5,0),)</f>
        <v>0</v>
      </c>
      <c r="Q480" s="478" t="str">
        <f>IFERROR(VLOOKUP(G480,MODULY_CBA!$B$3:$I$23,6,0),"")</f>
        <v>Inkrement 2</v>
      </c>
    </row>
    <row r="481" spans="1:17" ht="25.5">
      <c r="A481" s="401">
        <v>479</v>
      </c>
      <c r="B481" s="401" t="s">
        <v>939</v>
      </c>
      <c r="C481" s="530" t="s">
        <v>954</v>
      </c>
      <c r="D481" s="530" t="s">
        <v>955</v>
      </c>
      <c r="E481" s="530"/>
      <c r="F481" s="389" t="s">
        <v>8</v>
      </c>
      <c r="G481" s="389" t="s">
        <v>258</v>
      </c>
      <c r="H481" s="379">
        <v>1</v>
      </c>
      <c r="I481" s="379">
        <v>15</v>
      </c>
      <c r="J481" s="379">
        <f t="shared" si="31"/>
        <v>1</v>
      </c>
      <c r="K481" s="379">
        <f t="shared" si="29"/>
        <v>15</v>
      </c>
      <c r="L481" s="643">
        <f>IFERROR(IF(B481="funkcna poziadavka",VLOOKUP(G481,MODULY_CBA!$B$3:$E$23,4,0)*H481/SUMIFS($H$3:$H$199,$G$3:$G$199,G481,$B$3:$B$199,B481),),)</f>
        <v>0</v>
      </c>
      <c r="M481" s="379">
        <f>IFERROR(IF(B481="Funkcna poziadavka",VLOOKUP(G481,MODULY_CBA!$B$3:$E$23,3,0),),)</f>
        <v>0</v>
      </c>
      <c r="N481" s="379">
        <f>IFERROR(IF(B481="funkcna poziadavka",VLOOKUP(G481,MODULY_CBA!$B$3:$E$23,2,0),),)</f>
        <v>0</v>
      </c>
      <c r="O481" s="378">
        <f t="shared" si="30"/>
        <v>0</v>
      </c>
      <c r="P481" s="377">
        <f>IFERROR(O481*VLOOKUP(G481,MODULY_CBA!$B$3:$F$23,5,0),)</f>
        <v>0</v>
      </c>
      <c r="Q481" s="478" t="str">
        <f>IFERROR(VLOOKUP(G481,MODULY_CBA!$B$3:$I$23,6,0),"")</f>
        <v>Inkrement 2</v>
      </c>
    </row>
    <row r="482" spans="1:17" ht="25.5">
      <c r="A482" s="401">
        <v>480</v>
      </c>
      <c r="B482" s="401" t="s">
        <v>939</v>
      </c>
      <c r="C482" s="530" t="s">
        <v>954</v>
      </c>
      <c r="D482" s="530" t="s">
        <v>955</v>
      </c>
      <c r="E482" s="530"/>
      <c r="F482" s="389" t="s">
        <v>8</v>
      </c>
      <c r="G482" s="389" t="s">
        <v>258</v>
      </c>
      <c r="H482" s="379">
        <v>1</v>
      </c>
      <c r="I482" s="379">
        <v>10</v>
      </c>
      <c r="J482" s="379">
        <f t="shared" si="31"/>
        <v>1</v>
      </c>
      <c r="K482" s="379">
        <f t="shared" si="29"/>
        <v>10</v>
      </c>
      <c r="L482" s="643">
        <f>IFERROR(IF(B482="funkcna poziadavka",VLOOKUP(G482,MODULY_CBA!$B$3:$E$23,4,0)*H482/SUMIFS($H$3:$H$199,$G$3:$G$199,G482,$B$3:$B$199,B482),),)</f>
        <v>0</v>
      </c>
      <c r="M482" s="379">
        <f>IFERROR(IF(B482="Funkcna poziadavka",VLOOKUP(G482,MODULY_CBA!$B$3:$E$23,3,0),),)</f>
        <v>0</v>
      </c>
      <c r="N482" s="379">
        <f>IFERROR(IF(B482="funkcna poziadavka",VLOOKUP(G482,MODULY_CBA!$B$3:$E$23,2,0),),)</f>
        <v>0</v>
      </c>
      <c r="O482" s="378">
        <f t="shared" si="30"/>
        <v>0</v>
      </c>
      <c r="P482" s="377">
        <f>IFERROR(O482*VLOOKUP(G482,MODULY_CBA!$B$3:$F$23,5,0),)</f>
        <v>0</v>
      </c>
      <c r="Q482" s="478" t="str">
        <f>IFERROR(VLOOKUP(G482,MODULY_CBA!$B$3:$I$23,6,0),"")</f>
        <v>Inkrement 2</v>
      </c>
    </row>
    <row r="483" spans="1:17" ht="25.5">
      <c r="A483" s="401">
        <v>481</v>
      </c>
      <c r="B483" s="401" t="s">
        <v>939</v>
      </c>
      <c r="C483" s="530" t="s">
        <v>956</v>
      </c>
      <c r="D483" s="530" t="s">
        <v>957</v>
      </c>
      <c r="E483" s="530"/>
      <c r="F483" s="389" t="s">
        <v>8</v>
      </c>
      <c r="G483" s="389" t="s">
        <v>258</v>
      </c>
      <c r="H483" s="379">
        <v>1</v>
      </c>
      <c r="I483" s="379">
        <v>10</v>
      </c>
      <c r="J483" s="379">
        <f t="shared" si="31"/>
        <v>1</v>
      </c>
      <c r="K483" s="379">
        <f t="shared" si="29"/>
        <v>10</v>
      </c>
      <c r="L483" s="643">
        <f>IFERROR(IF(B483="funkcna poziadavka",VLOOKUP(G483,MODULY_CBA!$B$3:$E$23,4,0)*H483/SUMIFS($H$3:$H$199,$G$3:$G$199,G483,$B$3:$B$199,B483),),)</f>
        <v>0</v>
      </c>
      <c r="M483" s="379">
        <f>IFERROR(IF(B483="Funkcna poziadavka",VLOOKUP(G483,MODULY_CBA!$B$3:$E$23,3,0),),)</f>
        <v>0</v>
      </c>
      <c r="N483" s="379">
        <f>IFERROR(IF(B483="funkcna poziadavka",VLOOKUP(G483,MODULY_CBA!$B$3:$E$23,2,0),),)</f>
        <v>0</v>
      </c>
      <c r="O483" s="378">
        <f t="shared" si="30"/>
        <v>0</v>
      </c>
      <c r="P483" s="377">
        <f>IFERROR(O483*VLOOKUP(G483,MODULY_CBA!$B$3:$F$23,5,0),)</f>
        <v>0</v>
      </c>
      <c r="Q483" s="478" t="str">
        <f>IFERROR(VLOOKUP(G483,MODULY_CBA!$B$3:$I$23,6,0),"")</f>
        <v>Inkrement 2</v>
      </c>
    </row>
    <row r="484" spans="1:17" ht="25.5">
      <c r="A484" s="401">
        <v>482</v>
      </c>
      <c r="B484" s="401" t="s">
        <v>939</v>
      </c>
      <c r="C484" s="530" t="s">
        <v>956</v>
      </c>
      <c r="D484" s="530" t="s">
        <v>958</v>
      </c>
      <c r="E484" s="530"/>
      <c r="F484" s="389" t="s">
        <v>8</v>
      </c>
      <c r="G484" s="389" t="s">
        <v>258</v>
      </c>
      <c r="H484" s="379">
        <v>1</v>
      </c>
      <c r="I484" s="379">
        <v>10</v>
      </c>
      <c r="J484" s="379">
        <f t="shared" si="31"/>
        <v>1</v>
      </c>
      <c r="K484" s="379">
        <f t="shared" si="29"/>
        <v>10</v>
      </c>
      <c r="L484" s="643">
        <f>IFERROR(IF(B484="funkcna poziadavka",VLOOKUP(G484,MODULY_CBA!$B$3:$E$23,4,0)*H484/SUMIFS($H$3:$H$199,$G$3:$G$199,G484,$B$3:$B$199,B484),),)</f>
        <v>0</v>
      </c>
      <c r="M484" s="379">
        <f>IFERROR(IF(B484="Funkcna poziadavka",VLOOKUP(G484,MODULY_CBA!$B$3:$E$23,3,0),),)</f>
        <v>0</v>
      </c>
      <c r="N484" s="379">
        <f>IFERROR(IF(B484="funkcna poziadavka",VLOOKUP(G484,MODULY_CBA!$B$3:$E$23,2,0),),)</f>
        <v>0</v>
      </c>
      <c r="O484" s="378">
        <f t="shared" si="30"/>
        <v>0</v>
      </c>
      <c r="P484" s="377">
        <f>IFERROR(O484*VLOOKUP(G484,MODULY_CBA!$B$3:$F$23,5,0),)</f>
        <v>0</v>
      </c>
      <c r="Q484" s="478" t="str">
        <f>IFERROR(VLOOKUP(G484,MODULY_CBA!$B$3:$I$23,6,0),"")</f>
        <v>Inkrement 2</v>
      </c>
    </row>
    <row r="485" spans="1:17" ht="25.5">
      <c r="A485" s="401">
        <v>483</v>
      </c>
      <c r="B485" s="401" t="s">
        <v>939</v>
      </c>
      <c r="C485" s="530" t="s">
        <v>956</v>
      </c>
      <c r="D485" s="530" t="s">
        <v>959</v>
      </c>
      <c r="E485" s="530"/>
      <c r="F485" s="389" t="s">
        <v>8</v>
      </c>
      <c r="G485" s="389" t="s">
        <v>258</v>
      </c>
      <c r="H485" s="379">
        <v>1</v>
      </c>
      <c r="I485" s="379">
        <v>10</v>
      </c>
      <c r="J485" s="379">
        <f t="shared" si="31"/>
        <v>1</v>
      </c>
      <c r="K485" s="379">
        <f t="shared" si="29"/>
        <v>10</v>
      </c>
      <c r="L485" s="643">
        <f>IFERROR(IF(B485="funkcna poziadavka",VLOOKUP(G485,MODULY_CBA!$B$3:$E$23,4,0)*H485/SUMIFS($H$3:$H$199,$G$3:$G$199,G485,$B$3:$B$199,B485),),)</f>
        <v>0</v>
      </c>
      <c r="M485" s="379">
        <f>IFERROR(IF(B485="Funkcna poziadavka",VLOOKUP(G485,MODULY_CBA!$B$3:$E$23,3,0),),)</f>
        <v>0</v>
      </c>
      <c r="N485" s="379">
        <f>IFERROR(IF(B485="funkcna poziadavka",VLOOKUP(G485,MODULY_CBA!$B$3:$E$23,2,0),),)</f>
        <v>0</v>
      </c>
      <c r="O485" s="378">
        <f t="shared" si="30"/>
        <v>0</v>
      </c>
      <c r="P485" s="377">
        <f>IFERROR(O485*VLOOKUP(G485,MODULY_CBA!$B$3:$F$23,5,0),)</f>
        <v>0</v>
      </c>
      <c r="Q485" s="478" t="str">
        <f>IFERROR(VLOOKUP(G485,MODULY_CBA!$B$3:$I$23,6,0),"")</f>
        <v>Inkrement 2</v>
      </c>
    </row>
    <row r="486" spans="1:17" ht="25.5">
      <c r="A486" s="401">
        <v>484</v>
      </c>
      <c r="B486" s="401" t="s">
        <v>939</v>
      </c>
      <c r="C486" s="530" t="s">
        <v>956</v>
      </c>
      <c r="D486" s="530" t="s">
        <v>960</v>
      </c>
      <c r="E486" s="530"/>
      <c r="F486" s="389" t="s">
        <v>8</v>
      </c>
      <c r="G486" s="389" t="s">
        <v>258</v>
      </c>
      <c r="H486" s="379">
        <v>1</v>
      </c>
      <c r="I486" s="379">
        <v>10</v>
      </c>
      <c r="J486" s="379">
        <f t="shared" si="31"/>
        <v>1</v>
      </c>
      <c r="K486" s="379">
        <f t="shared" si="29"/>
        <v>10</v>
      </c>
      <c r="L486" s="643">
        <f>IFERROR(IF(B486="funkcna poziadavka",VLOOKUP(G486,MODULY_CBA!$B$3:$E$23,4,0)*H486/SUMIFS($H$3:$H$199,$G$3:$G$199,G486,$B$3:$B$199,B486),),)</f>
        <v>0</v>
      </c>
      <c r="M486" s="379">
        <f>IFERROR(IF(B486="Funkcna poziadavka",VLOOKUP(G486,MODULY_CBA!$B$3:$E$23,3,0),),)</f>
        <v>0</v>
      </c>
      <c r="N486" s="379">
        <f>IFERROR(IF(B486="funkcna poziadavka",VLOOKUP(G486,MODULY_CBA!$B$3:$E$23,2,0),),)</f>
        <v>0</v>
      </c>
      <c r="O486" s="378">
        <f t="shared" si="30"/>
        <v>0</v>
      </c>
      <c r="P486" s="377">
        <f>IFERROR(O486*VLOOKUP(G486,MODULY_CBA!$B$3:$F$23,5,0),)</f>
        <v>0</v>
      </c>
      <c r="Q486" s="478"/>
    </row>
    <row r="487" spans="1:17" ht="25.5">
      <c r="A487" s="401">
        <v>485</v>
      </c>
      <c r="B487" s="401" t="s">
        <v>939</v>
      </c>
      <c r="C487" s="530" t="s">
        <v>956</v>
      </c>
      <c r="D487" s="530" t="s">
        <v>961</v>
      </c>
      <c r="E487" s="530"/>
      <c r="F487" s="389" t="s">
        <v>8</v>
      </c>
      <c r="G487" s="389" t="s">
        <v>258</v>
      </c>
      <c r="H487" s="379">
        <v>1</v>
      </c>
      <c r="I487" s="379">
        <v>10</v>
      </c>
      <c r="J487" s="379">
        <f t="shared" si="31"/>
        <v>1</v>
      </c>
      <c r="K487" s="379">
        <f t="shared" si="29"/>
        <v>10</v>
      </c>
      <c r="L487" s="643">
        <f>IFERROR(IF(B487="funkcna poziadavka",VLOOKUP(G487,MODULY_CBA!$B$3:$E$23,4,0)*H487/SUMIFS($H$3:$H$199,$G$3:$G$199,G487,$B$3:$B$199,B487),),)</f>
        <v>0</v>
      </c>
      <c r="M487" s="379">
        <f>IFERROR(IF(B487="Funkcna poziadavka",VLOOKUP(G487,MODULY_CBA!$B$3:$E$23,3,0),),)</f>
        <v>0</v>
      </c>
      <c r="N487" s="379">
        <f>IFERROR(IF(B487="funkcna poziadavka",VLOOKUP(G487,MODULY_CBA!$B$3:$E$23,2,0),),)</f>
        <v>0</v>
      </c>
      <c r="O487" s="378">
        <f t="shared" si="30"/>
        <v>0</v>
      </c>
      <c r="P487" s="377">
        <f>IFERROR(O487*VLOOKUP(G487,MODULY_CBA!$B$3:$F$23,5,0),)</f>
        <v>0</v>
      </c>
      <c r="Q487" s="478" t="str">
        <f>IFERROR(VLOOKUP(G487,MODULY_CBA!$B$3:$I$23,6,0),"")</f>
        <v>Inkrement 2</v>
      </c>
    </row>
    <row r="488" spans="1:17" ht="25.5">
      <c r="A488" s="401">
        <v>486</v>
      </c>
      <c r="B488" s="401" t="s">
        <v>939</v>
      </c>
      <c r="C488" s="530" t="s">
        <v>956</v>
      </c>
      <c r="D488" s="530" t="s">
        <v>962</v>
      </c>
      <c r="E488" s="530"/>
      <c r="F488" s="389" t="s">
        <v>8</v>
      </c>
      <c r="G488" s="389" t="s">
        <v>258</v>
      </c>
      <c r="H488" s="379">
        <v>1</v>
      </c>
      <c r="I488" s="379">
        <v>10</v>
      </c>
      <c r="J488" s="379">
        <f t="shared" si="31"/>
        <v>1</v>
      </c>
      <c r="K488" s="379">
        <f t="shared" si="29"/>
        <v>10</v>
      </c>
      <c r="L488" s="643">
        <f>IFERROR(IF(B488="funkcna poziadavka",VLOOKUP(G488,MODULY_CBA!$B$3:$E$23,4,0)*H488/SUMIFS($H$3:$H$199,$G$3:$G$199,G488,$B$3:$B$199,B488),),)</f>
        <v>0</v>
      </c>
      <c r="M488" s="379">
        <f>IFERROR(IF(B488="Funkcna poziadavka",VLOOKUP(G488,MODULY_CBA!$B$3:$E$23,3,0),),)</f>
        <v>0</v>
      </c>
      <c r="N488" s="379">
        <f>IFERROR(IF(B488="funkcna poziadavka",VLOOKUP(G488,MODULY_CBA!$B$3:$E$23,2,0),),)</f>
        <v>0</v>
      </c>
      <c r="O488" s="378">
        <f t="shared" si="30"/>
        <v>0</v>
      </c>
      <c r="P488" s="377">
        <f>IFERROR(O488*VLOOKUP(G488,MODULY_CBA!$B$3:$F$23,5,0),)</f>
        <v>0</v>
      </c>
      <c r="Q488" s="478" t="str">
        <f>IFERROR(VLOOKUP(G488,MODULY_CBA!$B$3:$I$23,6,0),"")</f>
        <v>Inkrement 2</v>
      </c>
    </row>
    <row r="489" spans="1:17" ht="25.5">
      <c r="A489" s="401">
        <v>487</v>
      </c>
      <c r="B489" s="401" t="s">
        <v>939</v>
      </c>
      <c r="C489" s="530" t="s">
        <v>956</v>
      </c>
      <c r="D489" s="530" t="s">
        <v>963</v>
      </c>
      <c r="E489" s="530"/>
      <c r="F489" s="389" t="s">
        <v>8</v>
      </c>
      <c r="G489" s="389" t="s">
        <v>258</v>
      </c>
      <c r="H489" s="379">
        <v>1</v>
      </c>
      <c r="I489" s="379">
        <v>10</v>
      </c>
      <c r="J489" s="379">
        <f t="shared" si="31"/>
        <v>1</v>
      </c>
      <c r="K489" s="379">
        <f t="shared" si="29"/>
        <v>10</v>
      </c>
      <c r="L489" s="643">
        <f>IFERROR(IF(B489="funkcna poziadavka",VLOOKUP(G489,MODULY_CBA!$B$3:$E$23,4,0)*H489/SUMIFS($H$3:$H$199,$G$3:$G$199,G489,$B$3:$B$199,B489),),)</f>
        <v>0</v>
      </c>
      <c r="M489" s="379">
        <f>IFERROR(IF(B489="Funkcna poziadavka",VLOOKUP(G489,MODULY_CBA!$B$3:$E$23,3,0),),)</f>
        <v>0</v>
      </c>
      <c r="N489" s="379">
        <f>IFERROR(IF(B489="funkcna poziadavka",VLOOKUP(G489,MODULY_CBA!$B$3:$E$23,2,0),),)</f>
        <v>0</v>
      </c>
      <c r="O489" s="378">
        <f t="shared" si="30"/>
        <v>0</v>
      </c>
      <c r="P489" s="377">
        <f>IFERROR(O489*VLOOKUP(G489,MODULY_CBA!$B$3:$F$23,5,0),)</f>
        <v>0</v>
      </c>
      <c r="Q489" s="478" t="str">
        <f>IFERROR(VLOOKUP(G489,MODULY_CBA!$B$3:$I$23,6,0),"")</f>
        <v>Inkrement 2</v>
      </c>
    </row>
    <row r="490" spans="1:17" ht="25.5">
      <c r="A490" s="401">
        <v>488</v>
      </c>
      <c r="B490" s="401" t="s">
        <v>939</v>
      </c>
      <c r="C490" s="530" t="s">
        <v>956</v>
      </c>
      <c r="D490" s="530" t="s">
        <v>964</v>
      </c>
      <c r="E490" s="530"/>
      <c r="F490" s="389" t="s">
        <v>8</v>
      </c>
      <c r="G490" s="389" t="s">
        <v>258</v>
      </c>
      <c r="H490" s="379">
        <v>1</v>
      </c>
      <c r="I490" s="379">
        <v>10</v>
      </c>
      <c r="J490" s="379">
        <f t="shared" si="31"/>
        <v>1</v>
      </c>
      <c r="K490" s="379">
        <f t="shared" si="29"/>
        <v>10</v>
      </c>
      <c r="L490" s="643">
        <f>IFERROR(IF(B490="funkcna poziadavka",VLOOKUP(G490,MODULY_CBA!$B$3:$E$23,4,0)*H490/SUMIFS($H$3:$H$199,$G$3:$G$199,G490,$B$3:$B$199,B490),),)</f>
        <v>0</v>
      </c>
      <c r="M490" s="379">
        <f>IFERROR(IF(B490="Funkcna poziadavka",VLOOKUP(G490,MODULY_CBA!$B$3:$E$23,3,0),),)</f>
        <v>0</v>
      </c>
      <c r="N490" s="379">
        <f>IFERROR(IF(B490="funkcna poziadavka",VLOOKUP(G490,MODULY_CBA!$B$3:$E$23,2,0),),)</f>
        <v>0</v>
      </c>
      <c r="O490" s="378">
        <f t="shared" si="30"/>
        <v>0</v>
      </c>
      <c r="P490" s="377">
        <f>IFERROR(O490*VLOOKUP(G490,MODULY_CBA!$B$3:$F$23,5,0),)</f>
        <v>0</v>
      </c>
      <c r="Q490" s="478" t="str">
        <f>IFERROR(VLOOKUP(G490,MODULY_CBA!$B$3:$I$23,6,0),"")</f>
        <v>Inkrement 2</v>
      </c>
    </row>
    <row r="491" spans="1:17" ht="25.5">
      <c r="A491" s="401">
        <v>489</v>
      </c>
      <c r="B491" s="401" t="s">
        <v>939</v>
      </c>
      <c r="C491" s="530" t="s">
        <v>956</v>
      </c>
      <c r="D491" s="530" t="s">
        <v>965</v>
      </c>
      <c r="E491" s="530"/>
      <c r="F491" s="389" t="s">
        <v>8</v>
      </c>
      <c r="G491" s="389" t="s">
        <v>258</v>
      </c>
      <c r="H491" s="379">
        <v>1</v>
      </c>
      <c r="I491" s="379">
        <v>10</v>
      </c>
      <c r="J491" s="379">
        <f t="shared" si="31"/>
        <v>1</v>
      </c>
      <c r="K491" s="379">
        <f t="shared" si="29"/>
        <v>10</v>
      </c>
      <c r="L491" s="643">
        <f>IFERROR(IF(B491="funkcna poziadavka",VLOOKUP(G491,MODULY_CBA!$B$3:$E$23,4,0)*H491/SUMIFS($H$3:$H$199,$G$3:$G$199,G491,$B$3:$B$199,B491),),)</f>
        <v>0</v>
      </c>
      <c r="M491" s="379">
        <f>IFERROR(IF(B491="Funkcna poziadavka",VLOOKUP(G491,MODULY_CBA!$B$3:$E$23,3,0),),)</f>
        <v>0</v>
      </c>
      <c r="N491" s="379">
        <f>IFERROR(IF(B491="funkcna poziadavka",VLOOKUP(G491,MODULY_CBA!$B$3:$E$23,2,0),),)</f>
        <v>0</v>
      </c>
      <c r="O491" s="378">
        <f t="shared" si="30"/>
        <v>0</v>
      </c>
      <c r="P491" s="377">
        <f>IFERROR(O491*VLOOKUP(G491,MODULY_CBA!$B$3:$F$23,5,0),)</f>
        <v>0</v>
      </c>
      <c r="Q491" s="478" t="str">
        <f>IFERROR(VLOOKUP(G491,MODULY_CBA!$B$3:$I$23,6,0),"")</f>
        <v>Inkrement 2</v>
      </c>
    </row>
    <row r="492" spans="1:17" ht="25.5">
      <c r="A492" s="401">
        <v>490</v>
      </c>
      <c r="B492" s="401" t="s">
        <v>939</v>
      </c>
      <c r="C492" s="530" t="s">
        <v>956</v>
      </c>
      <c r="D492" s="530" t="s">
        <v>966</v>
      </c>
      <c r="E492" s="530"/>
      <c r="F492" s="389" t="s">
        <v>8</v>
      </c>
      <c r="G492" s="389" t="s">
        <v>258</v>
      </c>
      <c r="H492" s="379">
        <v>1</v>
      </c>
      <c r="I492" s="379">
        <v>10</v>
      </c>
      <c r="J492" s="379">
        <f t="shared" si="31"/>
        <v>1</v>
      </c>
      <c r="K492" s="379">
        <f t="shared" si="29"/>
        <v>10</v>
      </c>
      <c r="L492" s="643">
        <f>IFERROR(IF(B492="funkcna poziadavka",VLOOKUP(G492,MODULY_CBA!$B$3:$E$23,4,0)*H492/SUMIFS($H$3:$H$199,$G$3:$G$199,G492,$B$3:$B$199,B492),),)</f>
        <v>0</v>
      </c>
      <c r="M492" s="379">
        <f>IFERROR(IF(B492="Funkcna poziadavka",VLOOKUP(G492,MODULY_CBA!$B$3:$E$23,3,0),),)</f>
        <v>0</v>
      </c>
      <c r="N492" s="379">
        <f>IFERROR(IF(B492="funkcna poziadavka",VLOOKUP(G492,MODULY_CBA!$B$3:$E$23,2,0),),)</f>
        <v>0</v>
      </c>
      <c r="O492" s="378">
        <f t="shared" si="30"/>
        <v>0</v>
      </c>
      <c r="P492" s="377">
        <f>IFERROR(O492*VLOOKUP(G492,MODULY_CBA!$B$3:$F$23,5,0),)</f>
        <v>0</v>
      </c>
      <c r="Q492" s="478" t="str">
        <f>IFERROR(VLOOKUP(G492,MODULY_CBA!$B$3:$I$23,6,0),"")</f>
        <v>Inkrement 2</v>
      </c>
    </row>
    <row r="493" spans="1:17" ht="25.5">
      <c r="A493" s="401">
        <v>491</v>
      </c>
      <c r="B493" s="401" t="s">
        <v>939</v>
      </c>
      <c r="C493" s="530" t="s">
        <v>956</v>
      </c>
      <c r="D493" s="530" t="s">
        <v>967</v>
      </c>
      <c r="E493" s="530"/>
      <c r="F493" s="389" t="s">
        <v>8</v>
      </c>
      <c r="G493" s="389" t="s">
        <v>258</v>
      </c>
      <c r="H493" s="379">
        <v>1</v>
      </c>
      <c r="I493" s="379">
        <v>10</v>
      </c>
      <c r="J493" s="379">
        <f t="shared" si="31"/>
        <v>1</v>
      </c>
      <c r="K493" s="379">
        <f t="shared" si="29"/>
        <v>10</v>
      </c>
      <c r="L493" s="643">
        <f>IFERROR(IF(B493="funkcna poziadavka",VLOOKUP(G493,MODULY_CBA!$B$3:$E$23,4,0)*H493/SUMIFS($H$3:$H$199,$G$3:$G$199,G493,$B$3:$B$199,B493),),)</f>
        <v>0</v>
      </c>
      <c r="M493" s="379">
        <f>IFERROR(IF(B493="Funkcna poziadavka",VLOOKUP(G493,MODULY_CBA!$B$3:$E$23,3,0),),)</f>
        <v>0</v>
      </c>
      <c r="N493" s="379">
        <f>IFERROR(IF(B493="funkcna poziadavka",VLOOKUP(G493,MODULY_CBA!$B$3:$E$23,2,0),),)</f>
        <v>0</v>
      </c>
      <c r="O493" s="378">
        <f t="shared" si="30"/>
        <v>0</v>
      </c>
      <c r="P493" s="377">
        <f>IFERROR(O493*VLOOKUP(G493,MODULY_CBA!$B$3:$F$23,5,0),)</f>
        <v>0</v>
      </c>
      <c r="Q493" s="478" t="str">
        <f>IFERROR(VLOOKUP(G493,MODULY_CBA!$B$3:$I$23,6,0),"")</f>
        <v>Inkrement 2</v>
      </c>
    </row>
    <row r="494" spans="1:17" ht="25.5">
      <c r="A494" s="401">
        <v>492</v>
      </c>
      <c r="B494" s="401" t="s">
        <v>939</v>
      </c>
      <c r="C494" s="530" t="s">
        <v>956</v>
      </c>
      <c r="D494" s="530" t="s">
        <v>968</v>
      </c>
      <c r="E494" s="530"/>
      <c r="F494" s="389" t="s">
        <v>8</v>
      </c>
      <c r="G494" s="389" t="s">
        <v>258</v>
      </c>
      <c r="H494" s="379">
        <v>1</v>
      </c>
      <c r="I494" s="379">
        <v>10</v>
      </c>
      <c r="J494" s="379">
        <f t="shared" si="31"/>
        <v>1</v>
      </c>
      <c r="K494" s="379">
        <f t="shared" si="29"/>
        <v>10</v>
      </c>
      <c r="L494" s="643">
        <f>IFERROR(IF(B494="funkcna poziadavka",VLOOKUP(G494,MODULY_CBA!$B$3:$E$23,4,0)*H494/SUMIFS($H$3:$H$199,$G$3:$G$199,G494,$B$3:$B$199,B494),),)</f>
        <v>0</v>
      </c>
      <c r="M494" s="379">
        <f>IFERROR(IF(B494="Funkcna poziadavka",VLOOKUP(G494,MODULY_CBA!$B$3:$E$23,3,0),),)</f>
        <v>0</v>
      </c>
      <c r="N494" s="379">
        <f>IFERROR(IF(B494="funkcna poziadavka",VLOOKUP(G494,MODULY_CBA!$B$3:$E$23,2,0),),)</f>
        <v>0</v>
      </c>
      <c r="O494" s="378">
        <f t="shared" si="30"/>
        <v>0</v>
      </c>
      <c r="P494" s="377">
        <f>IFERROR(O494*VLOOKUP(G494,MODULY_CBA!$B$3:$F$23,5,0),)</f>
        <v>0</v>
      </c>
      <c r="Q494" s="478" t="str">
        <f>IFERROR(VLOOKUP(G494,MODULY_CBA!$B$3:$I$23,6,0),"")</f>
        <v>Inkrement 2</v>
      </c>
    </row>
    <row r="495" spans="1:17" ht="25.5">
      <c r="A495" s="401">
        <v>493</v>
      </c>
      <c r="B495" s="401" t="s">
        <v>939</v>
      </c>
      <c r="C495" s="530" t="s">
        <v>940</v>
      </c>
      <c r="D495" s="530" t="s">
        <v>962</v>
      </c>
      <c r="E495" s="530"/>
      <c r="F495" s="389" t="s">
        <v>8</v>
      </c>
      <c r="G495" s="389" t="s">
        <v>258</v>
      </c>
      <c r="H495" s="379">
        <v>1</v>
      </c>
      <c r="I495" s="379">
        <v>10</v>
      </c>
      <c r="J495" s="379">
        <f t="shared" si="31"/>
        <v>1</v>
      </c>
      <c r="K495" s="379">
        <f t="shared" si="29"/>
        <v>10</v>
      </c>
      <c r="L495" s="643">
        <f>IFERROR(IF(B495="funkcna poziadavka",VLOOKUP(G495,MODULY_CBA!$B$3:$E$23,4,0)*H495/SUMIFS($H$3:$H$199,$G$3:$G$199,G495,$B$3:$B$199,B495),),)</f>
        <v>0</v>
      </c>
      <c r="M495" s="379">
        <f>IFERROR(IF(B495="Funkcna poziadavka",VLOOKUP(G495,MODULY_CBA!$B$3:$E$23,3,0),),)</f>
        <v>0</v>
      </c>
      <c r="N495" s="379">
        <f>IFERROR(IF(B495="funkcna poziadavka",VLOOKUP(G495,MODULY_CBA!$B$3:$E$23,2,0),),)</f>
        <v>0</v>
      </c>
      <c r="O495" s="378">
        <f t="shared" si="30"/>
        <v>0</v>
      </c>
      <c r="P495" s="377">
        <f>IFERROR(O495*VLOOKUP(G495,MODULY_CBA!$B$3:$F$23,5,0),)</f>
        <v>0</v>
      </c>
      <c r="Q495" s="478" t="str">
        <f>IFERROR(VLOOKUP(G495,MODULY_CBA!$B$3:$I$23,6,0),"")</f>
        <v>Inkrement 2</v>
      </c>
    </row>
    <row r="496" spans="1:17" ht="25.5">
      <c r="A496" s="401">
        <v>494</v>
      </c>
      <c r="B496" s="401" t="s">
        <v>939</v>
      </c>
      <c r="C496" s="530" t="s">
        <v>940</v>
      </c>
      <c r="D496" s="530" t="s">
        <v>969</v>
      </c>
      <c r="E496" s="530"/>
      <c r="F496" s="389" t="s">
        <v>8</v>
      </c>
      <c r="G496" s="389" t="s">
        <v>258</v>
      </c>
      <c r="H496" s="379">
        <v>1</v>
      </c>
      <c r="I496" s="379">
        <v>10</v>
      </c>
      <c r="J496" s="379">
        <f t="shared" si="31"/>
        <v>1</v>
      </c>
      <c r="K496" s="379">
        <f t="shared" si="29"/>
        <v>10</v>
      </c>
      <c r="L496" s="643">
        <f>IFERROR(IF(B496="funkcna poziadavka",VLOOKUP(G496,MODULY_CBA!$B$3:$E$23,4,0)*H496/SUMIFS($H$3:$H$199,$G$3:$G$199,G496,$B$3:$B$199,B496),),)</f>
        <v>0</v>
      </c>
      <c r="M496" s="379">
        <f>IFERROR(IF(B496="Funkcna poziadavka",VLOOKUP(G496,MODULY_CBA!$B$3:$E$23,3,0),),)</f>
        <v>0</v>
      </c>
      <c r="N496" s="379">
        <f>IFERROR(IF(B496="funkcna poziadavka",VLOOKUP(G496,MODULY_CBA!$B$3:$E$23,2,0),),)</f>
        <v>0</v>
      </c>
      <c r="O496" s="378">
        <f t="shared" si="30"/>
        <v>0</v>
      </c>
      <c r="P496" s="377">
        <f>IFERROR(O496*VLOOKUP(G496,MODULY_CBA!$B$3:$F$23,5,0),)</f>
        <v>0</v>
      </c>
      <c r="Q496" s="478" t="str">
        <f>IFERROR(VLOOKUP(G496,MODULY_CBA!$B$3:$I$23,6,0),"")</f>
        <v>Inkrement 2</v>
      </c>
    </row>
    <row r="497" spans="1:17" ht="25.5">
      <c r="A497" s="401">
        <v>495</v>
      </c>
      <c r="B497" s="401" t="s">
        <v>939</v>
      </c>
      <c r="C497" s="530" t="s">
        <v>940</v>
      </c>
      <c r="D497" s="530" t="s">
        <v>969</v>
      </c>
      <c r="E497" s="530"/>
      <c r="F497" s="389" t="s">
        <v>8</v>
      </c>
      <c r="G497" s="389" t="s">
        <v>258</v>
      </c>
      <c r="H497" s="379">
        <v>1</v>
      </c>
      <c r="I497" s="379">
        <v>10</v>
      </c>
      <c r="J497" s="379">
        <f t="shared" si="31"/>
        <v>1</v>
      </c>
      <c r="K497" s="379">
        <f t="shared" si="29"/>
        <v>10</v>
      </c>
      <c r="L497" s="643">
        <f>IFERROR(IF(B497="funkcna poziadavka",VLOOKUP(G497,MODULY_CBA!$B$3:$E$23,4,0)*H497/SUMIFS($H$3:$H$199,$G$3:$G$199,G497,$B$3:$B$199,B497),),)</f>
        <v>0</v>
      </c>
      <c r="M497" s="379">
        <f>IFERROR(IF(B497="Funkcna poziadavka",VLOOKUP(G497,MODULY_CBA!$B$3:$E$23,3,0),),)</f>
        <v>0</v>
      </c>
      <c r="N497" s="379">
        <f>IFERROR(IF(B497="funkcna poziadavka",VLOOKUP(G497,MODULY_CBA!$B$3:$E$23,2,0),),)</f>
        <v>0</v>
      </c>
      <c r="O497" s="378">
        <f t="shared" si="30"/>
        <v>0</v>
      </c>
      <c r="P497" s="377">
        <f>IFERROR(O497*VLOOKUP(G497,MODULY_CBA!$B$3:$F$23,5,0),)</f>
        <v>0</v>
      </c>
      <c r="Q497" s="478" t="str">
        <f>IFERROR(VLOOKUP(G497,MODULY_CBA!$B$3:$I$23,6,0),"")</f>
        <v>Inkrement 2</v>
      </c>
    </row>
    <row r="498" spans="1:17" ht="25.5">
      <c r="A498" s="401">
        <v>496</v>
      </c>
      <c r="B498" s="401" t="s">
        <v>939</v>
      </c>
      <c r="C498" s="530" t="s">
        <v>956</v>
      </c>
      <c r="D498" s="530" t="s">
        <v>970</v>
      </c>
      <c r="E498" s="530"/>
      <c r="F498" s="389" t="s">
        <v>8</v>
      </c>
      <c r="G498" s="389" t="s">
        <v>258</v>
      </c>
      <c r="H498" s="379">
        <v>1</v>
      </c>
      <c r="I498" s="379">
        <v>10</v>
      </c>
      <c r="J498" s="379">
        <f t="shared" si="31"/>
        <v>1</v>
      </c>
      <c r="K498" s="379">
        <f t="shared" si="29"/>
        <v>10</v>
      </c>
      <c r="L498" s="643">
        <f>IFERROR(IF(B498="funkcna poziadavka",VLOOKUP(G498,MODULY_CBA!$B$3:$E$23,4,0)*H498/SUMIFS($H$3:$H$199,$G$3:$G$199,G498,$B$3:$B$199,B498),),)</f>
        <v>0</v>
      </c>
      <c r="M498" s="379">
        <f>IFERROR(IF(B498="Funkcna poziadavka",VLOOKUP(G498,MODULY_CBA!$B$3:$E$23,3,0),),)</f>
        <v>0</v>
      </c>
      <c r="N498" s="379">
        <f>IFERROR(IF(B498="funkcna poziadavka",VLOOKUP(G498,MODULY_CBA!$B$3:$E$23,2,0),),)</f>
        <v>0</v>
      </c>
      <c r="O498" s="378">
        <f t="shared" si="30"/>
        <v>0</v>
      </c>
      <c r="P498" s="377">
        <f>IFERROR(O498*VLOOKUP(G498,MODULY_CBA!$B$3:$F$23,5,0),)</f>
        <v>0</v>
      </c>
      <c r="Q498" s="478" t="str">
        <f>IFERROR(VLOOKUP(G498,MODULY_CBA!$B$3:$I$23,6,0),"")</f>
        <v>Inkrement 2</v>
      </c>
    </row>
    <row r="499" spans="1:17" ht="25.5">
      <c r="A499" s="401">
        <v>497</v>
      </c>
      <c r="B499" s="401" t="s">
        <v>939</v>
      </c>
      <c r="C499" s="530" t="s">
        <v>956</v>
      </c>
      <c r="D499" s="530" t="s">
        <v>971</v>
      </c>
      <c r="E499" s="530"/>
      <c r="F499" s="389" t="s">
        <v>8</v>
      </c>
      <c r="G499" s="389" t="s">
        <v>258</v>
      </c>
      <c r="H499" s="379">
        <v>1</v>
      </c>
      <c r="I499" s="379">
        <v>10</v>
      </c>
      <c r="J499" s="379">
        <f t="shared" si="31"/>
        <v>1</v>
      </c>
      <c r="K499" s="379">
        <f t="shared" ref="K499" si="36">H499*I499</f>
        <v>10</v>
      </c>
      <c r="L499" s="643">
        <f>IFERROR(IF(B499="funkcna poziadavka",VLOOKUP(G499,MODULY_CBA!$B$3:$E$23,4,0)*H499/SUMIFS($H$3:$H$199,$G$3:$G$199,G499,$B$3:$B$199,B499),),)</f>
        <v>0</v>
      </c>
      <c r="M499" s="379">
        <f>IFERROR(IF(B499="Funkcna poziadavka",VLOOKUP(G499,MODULY_CBA!$B$3:$E$23,3,0),),)</f>
        <v>0</v>
      </c>
      <c r="N499" s="379">
        <f>IFERROR(IF(B499="funkcna poziadavka",VLOOKUP(G499,MODULY_CBA!$B$3:$E$23,2,0),),)</f>
        <v>0</v>
      </c>
      <c r="O499" s="378">
        <f t="shared" ref="O499" si="37">(K499+L499)*M499*N499</f>
        <v>0</v>
      </c>
      <c r="P499" s="377">
        <f>IFERROR(O499*VLOOKUP(G499,MODULY_CBA!$B$3:$F$23,5,0),)</f>
        <v>0</v>
      </c>
      <c r="Q499" s="478" t="str">
        <f>IFERROR(VLOOKUP(G499,MODULY_CBA!$B$3:$I$23,6,0),"")</f>
        <v>Inkrement 2</v>
      </c>
    </row>
    <row r="500" spans="1:17" ht="25.5">
      <c r="A500" s="401">
        <v>498</v>
      </c>
      <c r="B500" s="401" t="s">
        <v>939</v>
      </c>
      <c r="C500" s="530" t="s">
        <v>956</v>
      </c>
      <c r="D500" s="530" t="s">
        <v>972</v>
      </c>
      <c r="E500" s="530"/>
      <c r="F500" s="389" t="s">
        <v>8</v>
      </c>
      <c r="G500" s="389" t="s">
        <v>258</v>
      </c>
      <c r="H500" s="379">
        <v>1</v>
      </c>
      <c r="I500" s="379">
        <v>5</v>
      </c>
      <c r="J500" s="379">
        <f t="shared" si="31"/>
        <v>1</v>
      </c>
      <c r="K500" s="379">
        <f t="shared" si="29"/>
        <v>5</v>
      </c>
      <c r="L500" s="643">
        <f>IFERROR(IF(B500="funkcna poziadavka",VLOOKUP(G500,MODULY_CBA!$B$3:$E$23,4,0)*H500/SUMIFS($H$3:$H$199,$G$3:$G$199,G500,$B$3:$B$199,B500),),)</f>
        <v>0</v>
      </c>
      <c r="M500" s="379">
        <f>IFERROR(IF(B500="Funkcna poziadavka",VLOOKUP(G500,MODULY_CBA!$B$3:$E$23,3,0),),)</f>
        <v>0</v>
      </c>
      <c r="N500" s="379">
        <f>IFERROR(IF(B500="funkcna poziadavka",VLOOKUP(G500,MODULY_CBA!$B$3:$E$23,2,0),),)</f>
        <v>0</v>
      </c>
      <c r="O500" s="378">
        <f t="shared" si="30"/>
        <v>0</v>
      </c>
      <c r="P500" s="377">
        <f>IFERROR(O500*VLOOKUP(G500,MODULY_CBA!$B$3:$F$23,5,0),)</f>
        <v>0</v>
      </c>
      <c r="Q500" s="478" t="str">
        <f>IFERROR(VLOOKUP(G500,MODULY_CBA!$B$3:$I$23,6,0),"")</f>
        <v>Inkrement 2</v>
      </c>
    </row>
    <row r="501" spans="1:17" ht="25.5">
      <c r="A501" s="401">
        <v>499</v>
      </c>
      <c r="B501" s="401" t="s">
        <v>939</v>
      </c>
      <c r="C501" s="530" t="s">
        <v>956</v>
      </c>
      <c r="D501" s="530" t="s">
        <v>973</v>
      </c>
      <c r="E501" s="530"/>
      <c r="F501" s="389" t="s">
        <v>8</v>
      </c>
      <c r="G501" s="389" t="s">
        <v>258</v>
      </c>
      <c r="H501" s="379">
        <v>1</v>
      </c>
      <c r="I501" s="379">
        <v>5</v>
      </c>
      <c r="J501" s="379">
        <f t="shared" si="31"/>
        <v>1</v>
      </c>
      <c r="K501" s="379">
        <f t="shared" si="29"/>
        <v>5</v>
      </c>
      <c r="L501" s="643">
        <f>IFERROR(IF(B501="funkcna poziadavka",VLOOKUP(G501,MODULY_CBA!$B$3:$E$23,4,0)*H501/SUMIFS($H$3:$H$199,$G$3:$G$199,G501,$B$3:$B$199,B501),),)</f>
        <v>0</v>
      </c>
      <c r="M501" s="379">
        <f>IFERROR(IF(B501="Funkcna poziadavka",VLOOKUP(G501,MODULY_CBA!$B$3:$E$23,3,0),),)</f>
        <v>0</v>
      </c>
      <c r="N501" s="379">
        <f>IFERROR(IF(B501="funkcna poziadavka",VLOOKUP(G501,MODULY_CBA!$B$3:$E$23,2,0),),)</f>
        <v>0</v>
      </c>
      <c r="O501" s="378">
        <f t="shared" si="30"/>
        <v>0</v>
      </c>
      <c r="P501" s="377">
        <f>IFERROR(O501*VLOOKUP(G501,MODULY_CBA!$B$3:$F$23,5,0),)</f>
        <v>0</v>
      </c>
      <c r="Q501" s="478" t="str">
        <f>IFERROR(VLOOKUP(G501,MODULY_CBA!$B$3:$I$23,6,0),"")</f>
        <v>Inkrement 2</v>
      </c>
    </row>
    <row r="502" spans="1:17" ht="25.5">
      <c r="A502" s="401">
        <v>500</v>
      </c>
      <c r="B502" s="401" t="s">
        <v>939</v>
      </c>
      <c r="C502" s="530" t="s">
        <v>956</v>
      </c>
      <c r="D502" s="530" t="s">
        <v>974</v>
      </c>
      <c r="E502" s="530"/>
      <c r="F502" s="389" t="s">
        <v>8</v>
      </c>
      <c r="G502" s="389" t="s">
        <v>258</v>
      </c>
      <c r="H502" s="379">
        <v>1</v>
      </c>
      <c r="I502" s="379">
        <v>5</v>
      </c>
      <c r="J502" s="379">
        <f t="shared" si="31"/>
        <v>1</v>
      </c>
      <c r="K502" s="379">
        <f t="shared" si="29"/>
        <v>5</v>
      </c>
      <c r="L502" s="643">
        <f>IFERROR(IF(B502="funkcna poziadavka",VLOOKUP(G502,MODULY_CBA!$B$3:$E$23,4,0)*H502/SUMIFS($H$3:$H$199,$G$3:$G$199,G502,$B$3:$B$199,B502),),)</f>
        <v>0</v>
      </c>
      <c r="M502" s="379">
        <f>IFERROR(IF(B502="Funkcna poziadavka",VLOOKUP(G502,MODULY_CBA!$B$3:$E$23,3,0),),)</f>
        <v>0</v>
      </c>
      <c r="N502" s="379">
        <f>IFERROR(IF(B502="funkcna poziadavka",VLOOKUP(G502,MODULY_CBA!$B$3:$E$23,2,0),),)</f>
        <v>0</v>
      </c>
      <c r="O502" s="378">
        <f t="shared" si="30"/>
        <v>0</v>
      </c>
      <c r="P502" s="377">
        <f>IFERROR(O502*VLOOKUP(G502,MODULY_CBA!$B$3:$F$23,5,0),)</f>
        <v>0</v>
      </c>
      <c r="Q502" s="478" t="str">
        <f>IFERROR(VLOOKUP(G502,MODULY_CBA!$B$3:$I$23,6,0),"")</f>
        <v>Inkrement 2</v>
      </c>
    </row>
    <row r="503" spans="1:17" ht="25.5">
      <c r="A503" s="401">
        <v>501</v>
      </c>
      <c r="B503" s="401" t="s">
        <v>939</v>
      </c>
      <c r="C503" s="530" t="s">
        <v>940</v>
      </c>
      <c r="D503" s="530" t="s">
        <v>942</v>
      </c>
      <c r="E503" s="530"/>
      <c r="F503" s="389" t="s">
        <v>8</v>
      </c>
      <c r="G503" s="389" t="s">
        <v>258</v>
      </c>
      <c r="H503" s="379">
        <v>1</v>
      </c>
      <c r="I503" s="379">
        <v>5</v>
      </c>
      <c r="J503" s="379">
        <f t="shared" si="31"/>
        <v>1</v>
      </c>
      <c r="K503" s="379">
        <f t="shared" si="29"/>
        <v>5</v>
      </c>
      <c r="L503" s="643">
        <f>IFERROR(IF(B503="funkcna poziadavka",VLOOKUP(G503,MODULY_CBA!$B$3:$E$23,4,0)*H503/SUMIFS($H$3:$H$199,$G$3:$G$199,G503,$B$3:$B$199,B503),),)</f>
        <v>0</v>
      </c>
      <c r="M503" s="379">
        <f>IFERROR(IF(B503="Funkcna poziadavka",VLOOKUP(G503,MODULY_CBA!$B$3:$E$23,3,0),),)</f>
        <v>0</v>
      </c>
      <c r="N503" s="379">
        <f>IFERROR(IF(B503="funkcna poziadavka",VLOOKUP(G503,MODULY_CBA!$B$3:$E$23,2,0),),)</f>
        <v>0</v>
      </c>
      <c r="O503" s="378">
        <f t="shared" si="30"/>
        <v>0</v>
      </c>
      <c r="P503" s="377">
        <f>IFERROR(O503*VLOOKUP(G503,MODULY_CBA!$B$3:$F$23,5,0),)</f>
        <v>0</v>
      </c>
      <c r="Q503" s="478" t="str">
        <f>IFERROR(VLOOKUP(G503,MODULY_CBA!$B$3:$I$23,6,0),"")</f>
        <v>Inkrement 2</v>
      </c>
    </row>
    <row r="504" spans="1:17" ht="25.5">
      <c r="A504" s="401">
        <v>502</v>
      </c>
      <c r="B504" s="401" t="s">
        <v>939</v>
      </c>
      <c r="C504" s="530" t="s">
        <v>956</v>
      </c>
      <c r="D504" s="530" t="s">
        <v>975</v>
      </c>
      <c r="E504" s="530"/>
      <c r="F504" s="389" t="s">
        <v>8</v>
      </c>
      <c r="G504" s="389" t="s">
        <v>258</v>
      </c>
      <c r="H504" s="379">
        <v>1</v>
      </c>
      <c r="I504" s="379">
        <v>5</v>
      </c>
      <c r="J504" s="379">
        <f t="shared" si="31"/>
        <v>1</v>
      </c>
      <c r="K504" s="379">
        <f t="shared" si="29"/>
        <v>5</v>
      </c>
      <c r="L504" s="643">
        <f>IFERROR(IF(B504="funkcna poziadavka",VLOOKUP(G504,MODULY_CBA!$B$3:$E$23,4,0)*H504/SUMIFS($H$3:$H$199,$G$3:$G$199,G504,$B$3:$B$199,B504),),)</f>
        <v>0</v>
      </c>
      <c r="M504" s="379">
        <f>IFERROR(IF(B504="Funkcna poziadavka",VLOOKUP(G504,MODULY_CBA!$B$3:$E$23,3,0),),)</f>
        <v>0</v>
      </c>
      <c r="N504" s="379">
        <f>IFERROR(IF(B504="funkcna poziadavka",VLOOKUP(G504,MODULY_CBA!$B$3:$E$23,2,0),),)</f>
        <v>0</v>
      </c>
      <c r="O504" s="378">
        <f t="shared" si="30"/>
        <v>0</v>
      </c>
      <c r="P504" s="377">
        <f>IFERROR(O504*VLOOKUP(G504,MODULY_CBA!$B$3:$F$23,5,0),)</f>
        <v>0</v>
      </c>
      <c r="Q504" s="478" t="str">
        <f>IFERROR(VLOOKUP(G504,MODULY_CBA!$B$3:$I$23,6,0),"")</f>
        <v>Inkrement 2</v>
      </c>
    </row>
    <row r="505" spans="1:17" ht="25.5">
      <c r="A505" s="401">
        <v>503</v>
      </c>
      <c r="B505" s="401" t="s">
        <v>939</v>
      </c>
      <c r="C505" s="530" t="s">
        <v>976</v>
      </c>
      <c r="D505" s="530" t="s">
        <v>977</v>
      </c>
      <c r="E505" s="530"/>
      <c r="F505" s="389" t="s">
        <v>8</v>
      </c>
      <c r="G505" s="389" t="s">
        <v>258</v>
      </c>
      <c r="H505" s="379">
        <v>1</v>
      </c>
      <c r="I505" s="379">
        <v>5</v>
      </c>
      <c r="J505" s="379">
        <f t="shared" si="31"/>
        <v>1</v>
      </c>
      <c r="K505" s="379">
        <f t="shared" si="29"/>
        <v>5</v>
      </c>
      <c r="L505" s="643">
        <f>IFERROR(IF(B505="funkcna poziadavka",VLOOKUP(G505,MODULY_CBA!$B$3:$E$23,4,0)*H505/SUMIFS($H$3:$H$199,$G$3:$G$199,G505,$B$3:$B$199,B505),),)</f>
        <v>0</v>
      </c>
      <c r="M505" s="379">
        <f>IFERROR(IF(B505="Funkcna poziadavka",VLOOKUP(G505,MODULY_CBA!$B$3:$E$23,3,0),),)</f>
        <v>0</v>
      </c>
      <c r="N505" s="379">
        <f>IFERROR(IF(B505="funkcna poziadavka",VLOOKUP(G505,MODULY_CBA!$B$3:$E$23,2,0),),)</f>
        <v>0</v>
      </c>
      <c r="O505" s="378">
        <f t="shared" si="30"/>
        <v>0</v>
      </c>
      <c r="P505" s="377">
        <f>IFERROR(O505*VLOOKUP(G505,MODULY_CBA!$B$3:$F$23,5,0),)</f>
        <v>0</v>
      </c>
      <c r="Q505" s="478" t="str">
        <f>IFERROR(VLOOKUP(G505,MODULY_CBA!$B$3:$I$23,6,0),"")</f>
        <v>Inkrement 2</v>
      </c>
    </row>
    <row r="506" spans="1:17" ht="25.5">
      <c r="A506" s="401">
        <v>504</v>
      </c>
      <c r="B506" s="401" t="s">
        <v>939</v>
      </c>
      <c r="C506" s="530" t="s">
        <v>976</v>
      </c>
      <c r="D506" s="530" t="s">
        <v>978</v>
      </c>
      <c r="E506" s="530"/>
      <c r="F506" s="389" t="s">
        <v>8</v>
      </c>
      <c r="G506" s="389" t="s">
        <v>258</v>
      </c>
      <c r="H506" s="379">
        <v>1</v>
      </c>
      <c r="I506" s="379">
        <v>5</v>
      </c>
      <c r="J506" s="379">
        <f t="shared" si="31"/>
        <v>1</v>
      </c>
      <c r="K506" s="379">
        <f t="shared" si="29"/>
        <v>5</v>
      </c>
      <c r="L506" s="643">
        <f>IFERROR(IF(B506="funkcna poziadavka",VLOOKUP(G506,MODULY_CBA!$B$3:$E$23,4,0)*H506/SUMIFS($H$3:$H$199,$G$3:$G$199,G506,$B$3:$B$199,B506),),)</f>
        <v>0</v>
      </c>
      <c r="M506" s="379">
        <f>IFERROR(IF(B506="Funkcna poziadavka",VLOOKUP(G506,MODULY_CBA!$B$3:$E$23,3,0),),)</f>
        <v>0</v>
      </c>
      <c r="N506" s="379">
        <f>IFERROR(IF(B506="funkcna poziadavka",VLOOKUP(G506,MODULY_CBA!$B$3:$E$23,2,0),),)</f>
        <v>0</v>
      </c>
      <c r="O506" s="378">
        <f t="shared" si="30"/>
        <v>0</v>
      </c>
      <c r="P506" s="377">
        <f>IFERROR(O506*VLOOKUP(G506,MODULY_CBA!$B$3:$F$23,5,0),)</f>
        <v>0</v>
      </c>
      <c r="Q506" s="478" t="str">
        <f>IFERROR(VLOOKUP(G506,MODULY_CBA!$B$3:$I$23,6,0),"")</f>
        <v>Inkrement 2</v>
      </c>
    </row>
    <row r="507" spans="1:17" ht="25.5">
      <c r="A507" s="401">
        <v>505</v>
      </c>
      <c r="B507" s="401" t="s">
        <v>939</v>
      </c>
      <c r="C507" s="530" t="s">
        <v>979</v>
      </c>
      <c r="D507" s="530" t="s">
        <v>980</v>
      </c>
      <c r="E507" s="530"/>
      <c r="F507" s="389" t="s">
        <v>8</v>
      </c>
      <c r="G507" s="389" t="s">
        <v>258</v>
      </c>
      <c r="H507" s="379">
        <v>1</v>
      </c>
      <c r="I507" s="379">
        <v>5</v>
      </c>
      <c r="J507" s="379">
        <f t="shared" si="31"/>
        <v>1</v>
      </c>
      <c r="K507" s="379">
        <f t="shared" si="29"/>
        <v>5</v>
      </c>
      <c r="L507" s="643">
        <f>IFERROR(IF(B507="funkcna poziadavka",VLOOKUP(G507,MODULY_CBA!$B$3:$E$23,4,0)*H507/SUMIFS($H$3:$H$199,$G$3:$G$199,G507,$B$3:$B$199,B507),),)</f>
        <v>0</v>
      </c>
      <c r="M507" s="379">
        <f>IFERROR(IF(B507="Funkcna poziadavka",VLOOKUP(G507,MODULY_CBA!$B$3:$E$23,3,0),),)</f>
        <v>0</v>
      </c>
      <c r="N507" s="379">
        <f>IFERROR(IF(B507="funkcna poziadavka",VLOOKUP(G507,MODULY_CBA!$B$3:$E$23,2,0),),)</f>
        <v>0</v>
      </c>
      <c r="O507" s="378">
        <f t="shared" si="30"/>
        <v>0</v>
      </c>
      <c r="P507" s="377">
        <f>IFERROR(O507*VLOOKUP(G507,MODULY_CBA!$B$3:$F$23,5,0),)</f>
        <v>0</v>
      </c>
      <c r="Q507" s="478" t="str">
        <f>IFERROR(VLOOKUP(G507,MODULY_CBA!$B$3:$I$23,6,0),"")</f>
        <v>Inkrement 2</v>
      </c>
    </row>
    <row r="508" spans="1:17" ht="25.5">
      <c r="A508" s="401">
        <v>506</v>
      </c>
      <c r="B508" s="401" t="s">
        <v>939</v>
      </c>
      <c r="C508" s="530" t="s">
        <v>979</v>
      </c>
      <c r="D508" s="530" t="s">
        <v>981</v>
      </c>
      <c r="E508" s="530"/>
      <c r="F508" s="389" t="s">
        <v>8</v>
      </c>
      <c r="G508" s="389" t="s">
        <v>258</v>
      </c>
      <c r="H508" s="379">
        <v>1</v>
      </c>
      <c r="I508" s="379">
        <v>5</v>
      </c>
      <c r="J508" s="379">
        <f t="shared" si="31"/>
        <v>1</v>
      </c>
      <c r="K508" s="379">
        <f t="shared" si="29"/>
        <v>5</v>
      </c>
      <c r="L508" s="643">
        <f>IFERROR(IF(B508="funkcna poziadavka",VLOOKUP(G508,MODULY_CBA!$B$3:$E$23,4,0)*H508/SUMIFS($H$3:$H$199,$G$3:$G$199,G508,$B$3:$B$199,B508),),)</f>
        <v>0</v>
      </c>
      <c r="M508" s="379">
        <f>IFERROR(IF(B508="Funkcna poziadavka",VLOOKUP(G508,MODULY_CBA!$B$3:$E$23,3,0),),)</f>
        <v>0</v>
      </c>
      <c r="N508" s="379">
        <f>IFERROR(IF(B508="funkcna poziadavka",VLOOKUP(G508,MODULY_CBA!$B$3:$E$23,2,0),),)</f>
        <v>0</v>
      </c>
      <c r="O508" s="378">
        <f t="shared" si="30"/>
        <v>0</v>
      </c>
      <c r="P508" s="377">
        <f>IFERROR(O508*VLOOKUP(G508,MODULY_CBA!$B$3:$F$23,5,0),)</f>
        <v>0</v>
      </c>
      <c r="Q508" s="478" t="str">
        <f>IFERROR(VLOOKUP(G508,MODULY_CBA!$B$3:$I$23,6,0),"")</f>
        <v>Inkrement 2</v>
      </c>
    </row>
    <row r="509" spans="1:17" ht="25.5">
      <c r="A509" s="401">
        <v>507</v>
      </c>
      <c r="B509" s="401" t="s">
        <v>939</v>
      </c>
      <c r="C509" s="530" t="s">
        <v>979</v>
      </c>
      <c r="D509" s="530" t="s">
        <v>982</v>
      </c>
      <c r="E509" s="530"/>
      <c r="F509" s="389" t="s">
        <v>8</v>
      </c>
      <c r="G509" s="389" t="s">
        <v>258</v>
      </c>
      <c r="H509" s="379">
        <v>1</v>
      </c>
      <c r="I509" s="379">
        <v>5</v>
      </c>
      <c r="J509" s="379">
        <f t="shared" si="31"/>
        <v>1</v>
      </c>
      <c r="K509" s="379">
        <f t="shared" si="29"/>
        <v>5</v>
      </c>
      <c r="L509" s="643">
        <f>IFERROR(IF(B509="funkcna poziadavka",VLOOKUP(G509,MODULY_CBA!$B$3:$E$23,4,0)*H509/SUMIFS($H$3:$H$199,$G$3:$G$199,G509,$B$3:$B$199,B509),),)</f>
        <v>0</v>
      </c>
      <c r="M509" s="379">
        <f>IFERROR(IF(B509="Funkcna poziadavka",VLOOKUP(G509,MODULY_CBA!$B$3:$E$23,3,0),),)</f>
        <v>0</v>
      </c>
      <c r="N509" s="379">
        <f>IFERROR(IF(B509="funkcna poziadavka",VLOOKUP(G509,MODULY_CBA!$B$3:$E$23,2,0),),)</f>
        <v>0</v>
      </c>
      <c r="O509" s="378">
        <f t="shared" si="30"/>
        <v>0</v>
      </c>
      <c r="P509" s="377">
        <f>IFERROR(O509*VLOOKUP(G509,MODULY_CBA!$B$3:$F$23,5,0),)</f>
        <v>0</v>
      </c>
      <c r="Q509" s="478" t="str">
        <f>IFERROR(VLOOKUP(G509,MODULY_CBA!$B$3:$I$23,6,0),"")</f>
        <v>Inkrement 2</v>
      </c>
    </row>
    <row r="510" spans="1:17" ht="25.5">
      <c r="A510" s="401">
        <v>508</v>
      </c>
      <c r="B510" s="401" t="s">
        <v>939</v>
      </c>
      <c r="C510" s="530" t="s">
        <v>979</v>
      </c>
      <c r="D510" s="530" t="s">
        <v>983</v>
      </c>
      <c r="E510" s="530"/>
      <c r="F510" s="389" t="s">
        <v>8</v>
      </c>
      <c r="G510" s="389" t="s">
        <v>258</v>
      </c>
      <c r="H510" s="379">
        <v>1</v>
      </c>
      <c r="I510" s="379">
        <v>5</v>
      </c>
      <c r="J510" s="379">
        <f t="shared" si="31"/>
        <v>1</v>
      </c>
      <c r="K510" s="379">
        <f t="shared" si="29"/>
        <v>5</v>
      </c>
      <c r="L510" s="643">
        <f>IFERROR(IF(B510="funkcna poziadavka",VLOOKUP(G510,MODULY_CBA!$B$3:$E$23,4,0)*H510/SUMIFS($H$3:$H$199,$G$3:$G$199,G510,$B$3:$B$199,B510),),)</f>
        <v>0</v>
      </c>
      <c r="M510" s="379">
        <f>IFERROR(IF(B510="Funkcna poziadavka",VLOOKUP(G510,MODULY_CBA!$B$3:$E$23,3,0),),)</f>
        <v>0</v>
      </c>
      <c r="N510" s="379">
        <f>IFERROR(IF(B510="funkcna poziadavka",VLOOKUP(G510,MODULY_CBA!$B$3:$E$23,2,0),),)</f>
        <v>0</v>
      </c>
      <c r="O510" s="378">
        <f t="shared" si="30"/>
        <v>0</v>
      </c>
      <c r="P510" s="377">
        <f>IFERROR(O510*VLOOKUP(G510,MODULY_CBA!$B$3:$F$23,5,0),)</f>
        <v>0</v>
      </c>
      <c r="Q510" s="478" t="str">
        <f>IFERROR(VLOOKUP(G510,MODULY_CBA!$B$3:$I$23,6,0),"")</f>
        <v>Inkrement 2</v>
      </c>
    </row>
    <row r="511" spans="1:17" ht="25.5">
      <c r="A511" s="401">
        <v>509</v>
      </c>
      <c r="B511" s="401" t="s">
        <v>939</v>
      </c>
      <c r="C511" s="530" t="s">
        <v>979</v>
      </c>
      <c r="D511" s="530" t="s">
        <v>984</v>
      </c>
      <c r="E511" s="530"/>
      <c r="F511" s="389" t="s">
        <v>8</v>
      </c>
      <c r="G511" s="389" t="s">
        <v>258</v>
      </c>
      <c r="H511" s="379">
        <v>1</v>
      </c>
      <c r="I511" s="379">
        <v>5</v>
      </c>
      <c r="J511" s="379">
        <f t="shared" si="31"/>
        <v>1</v>
      </c>
      <c r="K511" s="379">
        <f t="shared" ref="K511:K523" si="38">H511*I511</f>
        <v>5</v>
      </c>
      <c r="L511" s="643">
        <f>IFERROR(IF(B511="funkcna poziadavka",VLOOKUP(G511,MODULY_CBA!$B$3:$E$23,4,0)*H511/SUMIFS($H$3:$H$199,$G$3:$G$199,G511,$B$3:$B$199,B511),),)</f>
        <v>0</v>
      </c>
      <c r="M511" s="379">
        <f>IFERROR(IF(B511="Funkcna poziadavka",VLOOKUP(G511,MODULY_CBA!$B$3:$E$23,3,0),),)</f>
        <v>0</v>
      </c>
      <c r="N511" s="379">
        <f>IFERROR(IF(B511="funkcna poziadavka",VLOOKUP(G511,MODULY_CBA!$B$3:$E$23,2,0),),)</f>
        <v>0</v>
      </c>
      <c r="O511" s="378">
        <f t="shared" ref="O511:O523" si="39">(K511+L511)*M511*N511</f>
        <v>0</v>
      </c>
      <c r="P511" s="377">
        <f>IFERROR(O511*VLOOKUP(G511,MODULY_CBA!$B$3:$F$23,5,0),)</f>
        <v>0</v>
      </c>
      <c r="Q511" s="478" t="str">
        <f>IFERROR(VLOOKUP(G511,MODULY_CBA!$B$3:$I$23,6,0),"")</f>
        <v>Inkrement 2</v>
      </c>
    </row>
    <row r="512" spans="1:17" ht="25.5">
      <c r="A512" s="401">
        <v>510</v>
      </c>
      <c r="B512" s="401" t="s">
        <v>939</v>
      </c>
      <c r="C512" s="530" t="s">
        <v>979</v>
      </c>
      <c r="D512" s="530" t="s">
        <v>985</v>
      </c>
      <c r="E512" s="530"/>
      <c r="F512" s="389" t="s">
        <v>8</v>
      </c>
      <c r="G512" s="389" t="s">
        <v>258</v>
      </c>
      <c r="H512" s="379">
        <v>1</v>
      </c>
      <c r="I512" s="379">
        <v>5</v>
      </c>
      <c r="J512" s="379">
        <f t="shared" si="31"/>
        <v>1</v>
      </c>
      <c r="K512" s="379">
        <f t="shared" si="38"/>
        <v>5</v>
      </c>
      <c r="L512" s="643">
        <f>IFERROR(IF(B512="funkcna poziadavka",VLOOKUP(G512,MODULY_CBA!$B$3:$E$23,4,0)*H512/SUMIFS($H$3:$H$199,$G$3:$G$199,G512,$B$3:$B$199,B512),),)</f>
        <v>0</v>
      </c>
      <c r="M512" s="379">
        <f>IFERROR(IF(B512="Funkcna poziadavka",VLOOKUP(G512,MODULY_CBA!$B$3:$E$23,3,0),),)</f>
        <v>0</v>
      </c>
      <c r="N512" s="379">
        <f>IFERROR(IF(B512="funkcna poziadavka",VLOOKUP(G512,MODULY_CBA!$B$3:$E$23,2,0),),)</f>
        <v>0</v>
      </c>
      <c r="O512" s="378">
        <f t="shared" si="39"/>
        <v>0</v>
      </c>
      <c r="P512" s="377">
        <f>IFERROR(O512*VLOOKUP(G512,MODULY_CBA!$B$3:$F$23,5,0),)</f>
        <v>0</v>
      </c>
      <c r="Q512" s="478" t="str">
        <f>IFERROR(VLOOKUP(G512,MODULY_CBA!$B$3:$I$23,6,0),"")</f>
        <v>Inkrement 2</v>
      </c>
    </row>
    <row r="513" spans="1:17" ht="25.5">
      <c r="A513" s="401">
        <v>511</v>
      </c>
      <c r="B513" s="401" t="s">
        <v>939</v>
      </c>
      <c r="C513" s="530" t="s">
        <v>979</v>
      </c>
      <c r="D513" s="530" t="s">
        <v>986</v>
      </c>
      <c r="E513" s="530"/>
      <c r="F513" s="389" t="s">
        <v>8</v>
      </c>
      <c r="G513" s="389" t="s">
        <v>258</v>
      </c>
      <c r="H513" s="379">
        <v>1</v>
      </c>
      <c r="I513" s="379">
        <v>5</v>
      </c>
      <c r="J513" s="379">
        <f t="shared" si="31"/>
        <v>1</v>
      </c>
      <c r="K513" s="379">
        <f t="shared" si="38"/>
        <v>5</v>
      </c>
      <c r="L513" s="643">
        <f>IFERROR(IF(B513="funkcna poziadavka",VLOOKUP(G513,MODULY_CBA!$B$3:$E$23,4,0)*H513/SUMIFS($H$3:$H$199,$G$3:$G$199,G513,$B$3:$B$199,B513),),)</f>
        <v>0</v>
      </c>
      <c r="M513" s="379">
        <f>IFERROR(IF(B513="Funkcna poziadavka",VLOOKUP(G513,MODULY_CBA!$B$3:$E$23,3,0),),)</f>
        <v>0</v>
      </c>
      <c r="N513" s="379">
        <f>IFERROR(IF(B513="funkcna poziadavka",VLOOKUP(G513,MODULY_CBA!$B$3:$E$23,2,0),),)</f>
        <v>0</v>
      </c>
      <c r="O513" s="378">
        <f t="shared" si="39"/>
        <v>0</v>
      </c>
      <c r="P513" s="377">
        <f>IFERROR(O513*VLOOKUP(G513,MODULY_CBA!$B$3:$F$23,5,0),)</f>
        <v>0</v>
      </c>
      <c r="Q513" s="478" t="str">
        <f>IFERROR(VLOOKUP(G513,MODULY_CBA!$B$3:$I$23,6,0),"")</f>
        <v>Inkrement 2</v>
      </c>
    </row>
    <row r="514" spans="1:17" ht="25.5">
      <c r="A514" s="401">
        <v>512</v>
      </c>
      <c r="B514" s="401" t="s">
        <v>939</v>
      </c>
      <c r="C514" s="530" t="s">
        <v>979</v>
      </c>
      <c r="D514" s="530" t="s">
        <v>987</v>
      </c>
      <c r="E514" s="530"/>
      <c r="F514" s="389" t="s">
        <v>8</v>
      </c>
      <c r="G514" s="389" t="s">
        <v>258</v>
      </c>
      <c r="H514" s="379">
        <v>1</v>
      </c>
      <c r="I514" s="379">
        <v>5</v>
      </c>
      <c r="J514" s="379">
        <f t="shared" si="31"/>
        <v>1</v>
      </c>
      <c r="K514" s="379">
        <f t="shared" si="38"/>
        <v>5</v>
      </c>
      <c r="L514" s="643">
        <f>IFERROR(IF(B514="funkcna poziadavka",VLOOKUP(G514,MODULY_CBA!$B$3:$E$23,4,0)*H514/SUMIFS($H$3:$H$199,$G$3:$G$199,G514,$B$3:$B$199,B514),),)</f>
        <v>0</v>
      </c>
      <c r="M514" s="379">
        <f>IFERROR(IF(B514="Funkcna poziadavka",VLOOKUP(G514,MODULY_CBA!$B$3:$E$23,3,0),),)</f>
        <v>0</v>
      </c>
      <c r="N514" s="379">
        <f>IFERROR(IF(B514="funkcna poziadavka",VLOOKUP(G514,MODULY_CBA!$B$3:$E$23,2,0),),)</f>
        <v>0</v>
      </c>
      <c r="O514" s="378">
        <f t="shared" si="39"/>
        <v>0</v>
      </c>
      <c r="P514" s="377">
        <f>IFERROR(O514*VLOOKUP(G514,MODULY_CBA!$B$3:$F$23,5,0),)</f>
        <v>0</v>
      </c>
      <c r="Q514" s="478" t="str">
        <f>IFERROR(VLOOKUP(G514,MODULY_CBA!$B$3:$I$23,6,0),"")</f>
        <v>Inkrement 2</v>
      </c>
    </row>
    <row r="515" spans="1:17" ht="25.5">
      <c r="A515" s="401">
        <v>513</v>
      </c>
      <c r="B515" s="401" t="s">
        <v>939</v>
      </c>
      <c r="C515" s="530" t="s">
        <v>988</v>
      </c>
      <c r="D515" s="530" t="s">
        <v>989</v>
      </c>
      <c r="E515" s="530"/>
      <c r="F515" s="389" t="s">
        <v>8</v>
      </c>
      <c r="G515" s="389" t="s">
        <v>258</v>
      </c>
      <c r="H515" s="379">
        <v>1</v>
      </c>
      <c r="I515" s="379">
        <v>5</v>
      </c>
      <c r="J515" s="379">
        <f t="shared" si="31"/>
        <v>1</v>
      </c>
      <c r="K515" s="379">
        <f t="shared" si="38"/>
        <v>5</v>
      </c>
      <c r="L515" s="643">
        <f>IFERROR(IF(B515="funkcna poziadavka",VLOOKUP(G515,MODULY_CBA!$B$3:$E$23,4,0)*H515/SUMIFS($H$3:$H$199,$G$3:$G$199,G515,$B$3:$B$199,B515),),)</f>
        <v>0</v>
      </c>
      <c r="M515" s="379">
        <f>IFERROR(IF(B515="Funkcna poziadavka",VLOOKUP(G515,MODULY_CBA!$B$3:$E$23,3,0),),)</f>
        <v>0</v>
      </c>
      <c r="N515" s="379">
        <f>IFERROR(IF(B515="funkcna poziadavka",VLOOKUP(G515,MODULY_CBA!$B$3:$E$23,2,0),),)</f>
        <v>0</v>
      </c>
      <c r="O515" s="378">
        <f t="shared" si="39"/>
        <v>0</v>
      </c>
      <c r="P515" s="377">
        <f>IFERROR(O515*VLOOKUP(G515,MODULY_CBA!$B$3:$F$23,5,0),)</f>
        <v>0</v>
      </c>
      <c r="Q515" s="478" t="str">
        <f>IFERROR(VLOOKUP(G515,MODULY_CBA!$B$3:$I$23,6,0),"")</f>
        <v>Inkrement 2</v>
      </c>
    </row>
    <row r="516" spans="1:17" ht="25.5">
      <c r="A516" s="401">
        <v>514</v>
      </c>
      <c r="B516" s="401" t="s">
        <v>939</v>
      </c>
      <c r="C516" s="530" t="s">
        <v>988</v>
      </c>
      <c r="D516" s="530" t="s">
        <v>235</v>
      </c>
      <c r="E516" s="530"/>
      <c r="F516" s="389" t="s">
        <v>8</v>
      </c>
      <c r="G516" s="389" t="s">
        <v>258</v>
      </c>
      <c r="H516" s="379">
        <v>1</v>
      </c>
      <c r="I516" s="379">
        <v>5</v>
      </c>
      <c r="J516" s="379">
        <f t="shared" si="31"/>
        <v>1</v>
      </c>
      <c r="K516" s="379">
        <f t="shared" si="38"/>
        <v>5</v>
      </c>
      <c r="L516" s="643">
        <f>IFERROR(IF(B516="funkcna poziadavka",VLOOKUP(G516,MODULY_CBA!$B$3:$E$23,4,0)*H516/SUMIFS($H$3:$H$199,$G$3:$G$199,G516,$B$3:$B$199,B516),),)</f>
        <v>0</v>
      </c>
      <c r="M516" s="379">
        <f>IFERROR(IF(B516="Funkcna poziadavka",VLOOKUP(G516,MODULY_CBA!$B$3:$E$23,3,0),),)</f>
        <v>0</v>
      </c>
      <c r="N516" s="379">
        <f>IFERROR(IF(B516="funkcna poziadavka",VLOOKUP(G516,MODULY_CBA!$B$3:$E$23,2,0),),)</f>
        <v>0</v>
      </c>
      <c r="O516" s="378">
        <f t="shared" si="39"/>
        <v>0</v>
      </c>
      <c r="P516" s="377">
        <f>IFERROR(O516*VLOOKUP(G516,MODULY_CBA!$B$3:$F$23,5,0),)</f>
        <v>0</v>
      </c>
      <c r="Q516" s="478" t="str">
        <f>IFERROR(VLOOKUP(G516,MODULY_CBA!$B$3:$I$23,6,0),"")</f>
        <v>Inkrement 2</v>
      </c>
    </row>
    <row r="517" spans="1:17" ht="25.5">
      <c r="A517" s="401">
        <v>515</v>
      </c>
      <c r="B517" s="401" t="s">
        <v>939</v>
      </c>
      <c r="C517" s="530" t="s">
        <v>988</v>
      </c>
      <c r="D517" s="530" t="s">
        <v>990</v>
      </c>
      <c r="E517" s="530"/>
      <c r="F517" s="389" t="s">
        <v>8</v>
      </c>
      <c r="G517" s="389" t="s">
        <v>258</v>
      </c>
      <c r="H517" s="379">
        <v>1</v>
      </c>
      <c r="I517" s="379">
        <v>5</v>
      </c>
      <c r="J517" s="379">
        <f t="shared" ref="J517:J580" si="40">IF(ISNUMBER(H517),H517,)</f>
        <v>1</v>
      </c>
      <c r="K517" s="379">
        <f t="shared" si="38"/>
        <v>5</v>
      </c>
      <c r="L517" s="643">
        <f>IFERROR(IF(B517="funkcna poziadavka",VLOOKUP(G517,MODULY_CBA!$B$3:$E$23,4,0)*H517/SUMIFS($H$3:$H$199,$G$3:$G$199,G517,$B$3:$B$199,B517),),)</f>
        <v>0</v>
      </c>
      <c r="M517" s="379">
        <f>IFERROR(IF(B517="Funkcna poziadavka",VLOOKUP(G517,MODULY_CBA!$B$3:$E$23,3,0),),)</f>
        <v>0</v>
      </c>
      <c r="N517" s="379">
        <f>IFERROR(IF(B517="funkcna poziadavka",VLOOKUP(G517,MODULY_CBA!$B$3:$E$23,2,0),),)</f>
        <v>0</v>
      </c>
      <c r="O517" s="378">
        <f t="shared" si="39"/>
        <v>0</v>
      </c>
      <c r="P517" s="377">
        <f>IFERROR(O517*VLOOKUP(G517,MODULY_CBA!$B$3:$F$23,5,0),)</f>
        <v>0</v>
      </c>
      <c r="Q517" s="478" t="str">
        <f>IFERROR(VLOOKUP(G517,MODULY_CBA!$B$3:$I$23,6,0),"")</f>
        <v>Inkrement 2</v>
      </c>
    </row>
    <row r="518" spans="1:17" ht="25.5">
      <c r="A518" s="401">
        <v>516</v>
      </c>
      <c r="B518" s="401" t="s">
        <v>939</v>
      </c>
      <c r="C518" s="530" t="s">
        <v>956</v>
      </c>
      <c r="D518" s="530" t="s">
        <v>991</v>
      </c>
      <c r="E518" s="530"/>
      <c r="F518" s="389" t="s">
        <v>8</v>
      </c>
      <c r="G518" s="389" t="s">
        <v>258</v>
      </c>
      <c r="H518" s="379">
        <v>1</v>
      </c>
      <c r="I518" s="379">
        <v>5</v>
      </c>
      <c r="J518" s="379">
        <f t="shared" si="40"/>
        <v>1</v>
      </c>
      <c r="K518" s="379">
        <f t="shared" si="38"/>
        <v>5</v>
      </c>
      <c r="L518" s="643">
        <f>IFERROR(IF(B518="funkcna poziadavka",VLOOKUP(G518,MODULY_CBA!$B$3:$E$23,4,0)*H518/SUMIFS($H$3:$H$199,$G$3:$G$199,G518,$B$3:$B$199,B518),),)</f>
        <v>0</v>
      </c>
      <c r="M518" s="379">
        <f>IFERROR(IF(B518="Funkcna poziadavka",VLOOKUP(G518,MODULY_CBA!$B$3:$E$23,3,0),),)</f>
        <v>0</v>
      </c>
      <c r="N518" s="379">
        <f>IFERROR(IF(B518="funkcna poziadavka",VLOOKUP(G518,MODULY_CBA!$B$3:$E$23,2,0),),)</f>
        <v>0</v>
      </c>
      <c r="O518" s="378">
        <f t="shared" si="39"/>
        <v>0</v>
      </c>
      <c r="P518" s="377">
        <f>IFERROR(O518*VLOOKUP(G518,MODULY_CBA!$B$3:$F$23,5,0),)</f>
        <v>0</v>
      </c>
      <c r="Q518" s="478" t="str">
        <f>IFERROR(VLOOKUP(G518,MODULY_CBA!$B$3:$I$23,6,0),"")</f>
        <v>Inkrement 2</v>
      </c>
    </row>
    <row r="519" spans="1:17" ht="25.5">
      <c r="A519" s="401">
        <v>517</v>
      </c>
      <c r="B519" s="401" t="s">
        <v>939</v>
      </c>
      <c r="C519" s="530" t="s">
        <v>956</v>
      </c>
      <c r="D519" s="530" t="s">
        <v>992</v>
      </c>
      <c r="E519" s="530"/>
      <c r="F519" s="389" t="s">
        <v>8</v>
      </c>
      <c r="G519" s="389" t="s">
        <v>258</v>
      </c>
      <c r="H519" s="379">
        <v>1</v>
      </c>
      <c r="I519" s="379">
        <v>5</v>
      </c>
      <c r="J519" s="379">
        <f t="shared" si="40"/>
        <v>1</v>
      </c>
      <c r="K519" s="379">
        <f t="shared" si="38"/>
        <v>5</v>
      </c>
      <c r="L519" s="643">
        <f>IFERROR(IF(B519="funkcna poziadavka",VLOOKUP(G519,MODULY_CBA!$B$3:$E$23,4,0)*H519/SUMIFS($H$3:$H$199,$G$3:$G$199,G519,$B$3:$B$199,B519),),)</f>
        <v>0</v>
      </c>
      <c r="M519" s="379">
        <f>IFERROR(IF(B519="Funkcna poziadavka",VLOOKUP(G519,MODULY_CBA!$B$3:$E$23,3,0),),)</f>
        <v>0</v>
      </c>
      <c r="N519" s="379">
        <f>IFERROR(IF(B519="funkcna poziadavka",VLOOKUP(G519,MODULY_CBA!$B$3:$E$23,2,0),),)</f>
        <v>0</v>
      </c>
      <c r="O519" s="378">
        <f t="shared" si="39"/>
        <v>0</v>
      </c>
      <c r="P519" s="377">
        <f>IFERROR(O519*VLOOKUP(G519,MODULY_CBA!$B$3:$F$23,5,0),)</f>
        <v>0</v>
      </c>
      <c r="Q519" s="478" t="str">
        <f>IFERROR(VLOOKUP(G519,MODULY_CBA!$B$3:$I$23,6,0),"")</f>
        <v>Inkrement 2</v>
      </c>
    </row>
    <row r="520" spans="1:17" ht="25.5">
      <c r="A520" s="401">
        <v>518</v>
      </c>
      <c r="B520" s="401" t="s">
        <v>939</v>
      </c>
      <c r="C520" s="530" t="s">
        <v>956</v>
      </c>
      <c r="D520" s="530" t="s">
        <v>993</v>
      </c>
      <c r="E520" s="530"/>
      <c r="F520" s="389" t="s">
        <v>8</v>
      </c>
      <c r="G520" s="389" t="s">
        <v>258</v>
      </c>
      <c r="H520" s="379">
        <v>1</v>
      </c>
      <c r="I520" s="379">
        <v>5</v>
      </c>
      <c r="J520" s="379">
        <f t="shared" si="40"/>
        <v>1</v>
      </c>
      <c r="K520" s="379">
        <f t="shared" si="38"/>
        <v>5</v>
      </c>
      <c r="L520" s="643">
        <f>IFERROR(IF(B520="funkcna poziadavka",VLOOKUP(G520,MODULY_CBA!$B$3:$E$23,4,0)*H520/SUMIFS($H$3:$H$199,$G$3:$G$199,G520,$B$3:$B$199,B520),),)</f>
        <v>0</v>
      </c>
      <c r="M520" s="379">
        <f>IFERROR(IF(B520="Funkcna poziadavka",VLOOKUP(G520,MODULY_CBA!$B$3:$E$23,3,0),),)</f>
        <v>0</v>
      </c>
      <c r="N520" s="379">
        <f>IFERROR(IF(B520="funkcna poziadavka",VLOOKUP(G520,MODULY_CBA!$B$3:$E$23,2,0),),)</f>
        <v>0</v>
      </c>
      <c r="O520" s="378">
        <f t="shared" si="39"/>
        <v>0</v>
      </c>
      <c r="P520" s="377">
        <f>IFERROR(O520*VLOOKUP(G520,MODULY_CBA!$B$3:$F$23,5,0),)</f>
        <v>0</v>
      </c>
      <c r="Q520" s="478" t="str">
        <f>IFERROR(VLOOKUP(G520,MODULY_CBA!$B$3:$I$23,6,0),"")</f>
        <v>Inkrement 2</v>
      </c>
    </row>
    <row r="521" spans="1:17" ht="25.5">
      <c r="A521" s="401">
        <v>519</v>
      </c>
      <c r="B521" s="401" t="s">
        <v>939</v>
      </c>
      <c r="C521" s="530" t="s">
        <v>956</v>
      </c>
      <c r="D521" s="530" t="s">
        <v>994</v>
      </c>
      <c r="E521" s="530"/>
      <c r="F521" s="389" t="s">
        <v>8</v>
      </c>
      <c r="G521" s="389" t="s">
        <v>258</v>
      </c>
      <c r="H521" s="379">
        <v>1</v>
      </c>
      <c r="I521" s="379">
        <v>5</v>
      </c>
      <c r="J521" s="379">
        <f t="shared" si="40"/>
        <v>1</v>
      </c>
      <c r="K521" s="379">
        <f t="shared" si="38"/>
        <v>5</v>
      </c>
      <c r="L521" s="643">
        <f>IFERROR(IF(B521="funkcna poziadavka",VLOOKUP(G521,MODULY_CBA!$B$3:$E$23,4,0)*H521/SUMIFS($H$3:$H$199,$G$3:$G$199,G521,$B$3:$B$199,B521),),)</f>
        <v>0</v>
      </c>
      <c r="M521" s="379">
        <f>IFERROR(IF(B521="Funkcna poziadavka",VLOOKUP(G521,MODULY_CBA!$B$3:$E$23,3,0),),)</f>
        <v>0</v>
      </c>
      <c r="N521" s="379">
        <f>IFERROR(IF(B521="funkcna poziadavka",VLOOKUP(G521,MODULY_CBA!$B$3:$E$23,2,0),),)</f>
        <v>0</v>
      </c>
      <c r="O521" s="378">
        <f t="shared" si="39"/>
        <v>0</v>
      </c>
      <c r="P521" s="377">
        <f>IFERROR(O521*VLOOKUP(G521,MODULY_CBA!$B$3:$F$23,5,0),)</f>
        <v>0</v>
      </c>
      <c r="Q521" s="478" t="str">
        <f>IFERROR(VLOOKUP(G521,MODULY_CBA!$B$3:$I$23,6,0),"")</f>
        <v>Inkrement 2</v>
      </c>
    </row>
    <row r="522" spans="1:17" ht="25.5">
      <c r="A522" s="401">
        <v>520</v>
      </c>
      <c r="B522" s="401" t="s">
        <v>939</v>
      </c>
      <c r="C522" s="530" t="s">
        <v>956</v>
      </c>
      <c r="D522" s="530" t="s">
        <v>995</v>
      </c>
      <c r="E522" s="530"/>
      <c r="F522" s="389" t="s">
        <v>8</v>
      </c>
      <c r="G522" s="389" t="s">
        <v>258</v>
      </c>
      <c r="H522" s="379">
        <v>1</v>
      </c>
      <c r="I522" s="379">
        <v>5</v>
      </c>
      <c r="J522" s="379">
        <f t="shared" si="40"/>
        <v>1</v>
      </c>
      <c r="K522" s="379">
        <f t="shared" si="38"/>
        <v>5</v>
      </c>
      <c r="L522" s="643">
        <f>IFERROR(IF(B522="funkcna poziadavka",VLOOKUP(G522,MODULY_CBA!$B$3:$E$23,4,0)*H522/SUMIFS($H$3:$H$199,$G$3:$G$199,G522,$B$3:$B$199,B522),),)</f>
        <v>0</v>
      </c>
      <c r="M522" s="379">
        <f>IFERROR(IF(B522="Funkcna poziadavka",VLOOKUP(G522,MODULY_CBA!$B$3:$E$23,3,0),),)</f>
        <v>0</v>
      </c>
      <c r="N522" s="379">
        <f>IFERROR(IF(B522="funkcna poziadavka",VLOOKUP(G522,MODULY_CBA!$B$3:$E$23,2,0),),)</f>
        <v>0</v>
      </c>
      <c r="O522" s="378">
        <f t="shared" si="39"/>
        <v>0</v>
      </c>
      <c r="P522" s="377">
        <f>IFERROR(O522*VLOOKUP(G522,MODULY_CBA!$B$3:$F$23,5,0),)</f>
        <v>0</v>
      </c>
      <c r="Q522" s="478" t="str">
        <f>IFERROR(VLOOKUP(G522,MODULY_CBA!$B$3:$I$23,6,0),"")</f>
        <v>Inkrement 2</v>
      </c>
    </row>
    <row r="523" spans="1:17" ht="25.5">
      <c r="A523" s="401">
        <v>521</v>
      </c>
      <c r="B523" s="401" t="s">
        <v>939</v>
      </c>
      <c r="C523" s="530" t="s">
        <v>956</v>
      </c>
      <c r="D523" s="530" t="s">
        <v>996</v>
      </c>
      <c r="E523" s="530"/>
      <c r="F523" s="389" t="s">
        <v>8</v>
      </c>
      <c r="G523" s="389" t="s">
        <v>258</v>
      </c>
      <c r="H523" s="379">
        <v>1</v>
      </c>
      <c r="I523" s="379">
        <v>5</v>
      </c>
      <c r="J523" s="379">
        <f t="shared" si="40"/>
        <v>1</v>
      </c>
      <c r="K523" s="379">
        <f t="shared" si="38"/>
        <v>5</v>
      </c>
      <c r="L523" s="643">
        <f>IFERROR(IF(B523="funkcna poziadavka",VLOOKUP(G523,MODULY_CBA!$B$3:$E$23,4,0)*H523/SUMIFS($H$3:$H$199,$G$3:$G$199,G523,$B$3:$B$199,B523),),)</f>
        <v>0</v>
      </c>
      <c r="M523" s="379">
        <f>IFERROR(IF(B523="Funkcna poziadavka",VLOOKUP(G523,MODULY_CBA!$B$3:$E$23,3,0),),)</f>
        <v>0</v>
      </c>
      <c r="N523" s="379">
        <f>IFERROR(IF(B523="funkcna poziadavka",VLOOKUP(G523,MODULY_CBA!$B$3:$E$23,2,0),),)</f>
        <v>0</v>
      </c>
      <c r="O523" s="378">
        <f t="shared" si="39"/>
        <v>0</v>
      </c>
      <c r="P523" s="377">
        <f>IFERROR(O523*VLOOKUP(G523,MODULY_CBA!$B$3:$F$23,5,0),)</f>
        <v>0</v>
      </c>
      <c r="Q523" s="478" t="str">
        <f>IFERROR(VLOOKUP(G523,MODULY_CBA!$B$3:$I$23,6,0),"")</f>
        <v>Inkrement 2</v>
      </c>
    </row>
    <row r="524" spans="1:17">
      <c r="A524" s="401">
        <v>522</v>
      </c>
      <c r="B524" s="401" t="s">
        <v>475</v>
      </c>
      <c r="C524" s="530" t="s">
        <v>997</v>
      </c>
      <c r="D524" s="389" t="s">
        <v>998</v>
      </c>
      <c r="E524" s="389"/>
      <c r="F524" s="389" t="s">
        <v>8</v>
      </c>
      <c r="G524" s="389" t="s">
        <v>265</v>
      </c>
      <c r="H524" s="379">
        <v>1</v>
      </c>
      <c r="I524" s="379">
        <v>10</v>
      </c>
      <c r="J524" s="379">
        <f t="shared" si="40"/>
        <v>1</v>
      </c>
      <c r="K524" s="379">
        <f t="shared" ref="K524:K587" si="41">H524*I524</f>
        <v>10</v>
      </c>
      <c r="L524" s="643">
        <f>IFERROR(IF(B524="funkcna poziadavka",VLOOKUP(G524,MODULY_CBA!$B$3:$E$23,4,0)*H524/SUMIFS($H$3:$H$199,$G$3:$G$199,G524,$B$3:$B$199,B524),),)</f>
        <v>0</v>
      </c>
      <c r="M524" s="379">
        <f>IFERROR(IF(B524="Funkcna poziadavka",VLOOKUP(G524,MODULY_CBA!$B$3:$E$23,3,0),),)</f>
        <v>0.93499999999999994</v>
      </c>
      <c r="N524" s="379">
        <f>IFERROR(IF(B524="funkcna poziadavka",VLOOKUP(G524,MODULY_CBA!$B$3:$E$23,2,0),),)</f>
        <v>1.18</v>
      </c>
      <c r="O524" s="378">
        <f t="shared" ref="O524:O587" si="42">(K524+L524)*M524*N524</f>
        <v>11.032999999999999</v>
      </c>
      <c r="P524" s="377">
        <f>IFERROR(O524*VLOOKUP(G524,MODULY_CBA!$B$3:$F$23,5,0),)</f>
        <v>330.99</v>
      </c>
      <c r="Q524" s="478" t="str">
        <f>IFERROR(VLOOKUP(G524,MODULY_CBA!$B$3:$I$23,6,0),"")</f>
        <v>Inkrement 5</v>
      </c>
    </row>
    <row r="525" spans="1:17">
      <c r="A525" s="401">
        <v>523</v>
      </c>
      <c r="B525" s="401" t="s">
        <v>475</v>
      </c>
      <c r="C525" s="530" t="s">
        <v>997</v>
      </c>
      <c r="D525" s="389" t="s">
        <v>999</v>
      </c>
      <c r="E525" s="389"/>
      <c r="F525" s="389" t="s">
        <v>8</v>
      </c>
      <c r="G525" s="389" t="s">
        <v>265</v>
      </c>
      <c r="H525" s="379">
        <v>1</v>
      </c>
      <c r="I525" s="379">
        <v>10</v>
      </c>
      <c r="J525" s="379">
        <f t="shared" si="40"/>
        <v>1</v>
      </c>
      <c r="K525" s="379">
        <f t="shared" si="41"/>
        <v>10</v>
      </c>
      <c r="L525" s="643">
        <f>IFERROR(IF(B525="funkcna poziadavka",VLOOKUP(G525,MODULY_CBA!$B$3:$E$23,4,0)*H525/SUMIFS($H$3:$H$199,$G$3:$G$199,G525,$B$3:$B$199,B525),),)</f>
        <v>0</v>
      </c>
      <c r="M525" s="379">
        <f>IFERROR(IF(B525="Funkcna poziadavka",VLOOKUP(G525,MODULY_CBA!$B$3:$E$23,3,0),),)</f>
        <v>0.93499999999999994</v>
      </c>
      <c r="N525" s="379">
        <f>IFERROR(IF(B525="funkcna poziadavka",VLOOKUP(G525,MODULY_CBA!$B$3:$E$23,2,0),),)</f>
        <v>1.18</v>
      </c>
      <c r="O525" s="378">
        <f t="shared" si="42"/>
        <v>11.032999999999999</v>
      </c>
      <c r="P525" s="377">
        <f>IFERROR(O525*VLOOKUP(G525,MODULY_CBA!$B$3:$F$23,5,0),)</f>
        <v>330.99</v>
      </c>
      <c r="Q525" s="478" t="str">
        <f>IFERROR(VLOOKUP(G525,MODULY_CBA!$B$3:$I$23,6,0),"")</f>
        <v>Inkrement 5</v>
      </c>
    </row>
    <row r="526" spans="1:17">
      <c r="A526" s="401">
        <v>524</v>
      </c>
      <c r="B526" s="401" t="s">
        <v>475</v>
      </c>
      <c r="C526" s="530" t="s">
        <v>997</v>
      </c>
      <c r="D526" s="389" t="s">
        <v>1000</v>
      </c>
      <c r="E526" s="389"/>
      <c r="F526" s="389" t="s">
        <v>8</v>
      </c>
      <c r="G526" s="389" t="s">
        <v>265</v>
      </c>
      <c r="H526" s="379">
        <v>1</v>
      </c>
      <c r="I526" s="379">
        <v>10</v>
      </c>
      <c r="J526" s="379">
        <f t="shared" si="40"/>
        <v>1</v>
      </c>
      <c r="K526" s="379">
        <f t="shared" si="41"/>
        <v>10</v>
      </c>
      <c r="L526" s="643">
        <f>IFERROR(IF(B526="funkcna poziadavka",VLOOKUP(G526,MODULY_CBA!$B$3:$E$23,4,0)*H526/SUMIFS($H$3:$H$199,$G$3:$G$199,G526,$B$3:$B$199,B526),),)</f>
        <v>0</v>
      </c>
      <c r="M526" s="379">
        <f>IFERROR(IF(B526="Funkcna poziadavka",VLOOKUP(G526,MODULY_CBA!$B$3:$E$23,3,0),),)</f>
        <v>0.93499999999999994</v>
      </c>
      <c r="N526" s="379">
        <f>IFERROR(IF(B526="funkcna poziadavka",VLOOKUP(G526,MODULY_CBA!$B$3:$E$23,2,0),),)</f>
        <v>1.18</v>
      </c>
      <c r="O526" s="378">
        <f t="shared" si="42"/>
        <v>11.032999999999999</v>
      </c>
      <c r="P526" s="377">
        <f>IFERROR(O526*VLOOKUP(G526,MODULY_CBA!$B$3:$F$23,5,0),)</f>
        <v>330.99</v>
      </c>
      <c r="Q526" s="478" t="str">
        <f>IFERROR(VLOOKUP(G526,MODULY_CBA!$B$3:$I$23,6,0),"")</f>
        <v>Inkrement 5</v>
      </c>
    </row>
    <row r="527" spans="1:17">
      <c r="A527" s="401">
        <v>525</v>
      </c>
      <c r="B527" s="401" t="s">
        <v>475</v>
      </c>
      <c r="C527" s="530" t="s">
        <v>1001</v>
      </c>
      <c r="D527" s="389" t="s">
        <v>1002</v>
      </c>
      <c r="E527" s="389"/>
      <c r="F527" s="389" t="s">
        <v>8</v>
      </c>
      <c r="G527" s="389" t="s">
        <v>265</v>
      </c>
      <c r="H527" s="379">
        <v>1</v>
      </c>
      <c r="I527" s="379">
        <v>10</v>
      </c>
      <c r="J527" s="379">
        <f t="shared" si="40"/>
        <v>1</v>
      </c>
      <c r="K527" s="379">
        <f t="shared" si="41"/>
        <v>10</v>
      </c>
      <c r="L527" s="643">
        <f>IFERROR(IF(B527="funkcna poziadavka",VLOOKUP(G527,MODULY_CBA!$B$3:$E$23,4,0)*H527/SUMIFS($H$3:$H$199,$G$3:$G$199,G527,$B$3:$B$199,B527),),)</f>
        <v>0</v>
      </c>
      <c r="M527" s="379">
        <f>IFERROR(IF(B527="Funkcna poziadavka",VLOOKUP(G527,MODULY_CBA!$B$3:$E$23,3,0),),)</f>
        <v>0.93499999999999994</v>
      </c>
      <c r="N527" s="379">
        <f>IFERROR(IF(B527="funkcna poziadavka",VLOOKUP(G527,MODULY_CBA!$B$3:$E$23,2,0),),)</f>
        <v>1.18</v>
      </c>
      <c r="O527" s="378">
        <f t="shared" si="42"/>
        <v>11.032999999999999</v>
      </c>
      <c r="P527" s="377">
        <f>IFERROR(O527*VLOOKUP(G527,MODULY_CBA!$B$3:$F$23,5,0),)</f>
        <v>330.99</v>
      </c>
      <c r="Q527" s="478" t="str">
        <f>IFERROR(VLOOKUP(G527,MODULY_CBA!$B$3:$I$23,6,0),"")</f>
        <v>Inkrement 5</v>
      </c>
    </row>
    <row r="528" spans="1:17">
      <c r="A528" s="401">
        <v>526</v>
      </c>
      <c r="B528" s="401" t="s">
        <v>475</v>
      </c>
      <c r="C528" s="530" t="s">
        <v>1001</v>
      </c>
      <c r="D528" s="389" t="s">
        <v>1003</v>
      </c>
      <c r="E528" s="389"/>
      <c r="F528" s="389" t="s">
        <v>8</v>
      </c>
      <c r="G528" s="389" t="s">
        <v>265</v>
      </c>
      <c r="H528" s="379">
        <v>1</v>
      </c>
      <c r="I528" s="379">
        <v>10</v>
      </c>
      <c r="J528" s="379">
        <f t="shared" si="40"/>
        <v>1</v>
      </c>
      <c r="K528" s="379">
        <f t="shared" si="41"/>
        <v>10</v>
      </c>
      <c r="L528" s="643">
        <f>IFERROR(IF(B528="funkcna poziadavka",VLOOKUP(G528,MODULY_CBA!$B$3:$E$23,4,0)*H528/SUMIFS($H$3:$H$199,$G$3:$G$199,G528,$B$3:$B$199,B528),),)</f>
        <v>0</v>
      </c>
      <c r="M528" s="379">
        <f>IFERROR(IF(B528="Funkcna poziadavka",VLOOKUP(G528,MODULY_CBA!$B$3:$E$23,3,0),),)</f>
        <v>0.93499999999999994</v>
      </c>
      <c r="N528" s="379">
        <f>IFERROR(IF(B528="funkcna poziadavka",VLOOKUP(G528,MODULY_CBA!$B$3:$E$23,2,0),),)</f>
        <v>1.18</v>
      </c>
      <c r="O528" s="378">
        <f t="shared" si="42"/>
        <v>11.032999999999999</v>
      </c>
      <c r="P528" s="377">
        <f>IFERROR(O528*VLOOKUP(G528,MODULY_CBA!$B$3:$F$23,5,0),)</f>
        <v>330.99</v>
      </c>
      <c r="Q528" s="478" t="str">
        <f>IFERROR(VLOOKUP(G528,MODULY_CBA!$B$3:$I$23,6,0),"")</f>
        <v>Inkrement 5</v>
      </c>
    </row>
    <row r="529" spans="1:17">
      <c r="A529" s="401">
        <v>527</v>
      </c>
      <c r="B529" s="401" t="s">
        <v>475</v>
      </c>
      <c r="C529" s="530" t="s">
        <v>1001</v>
      </c>
      <c r="D529" s="389" t="s">
        <v>1004</v>
      </c>
      <c r="E529" s="389"/>
      <c r="F529" s="389" t="s">
        <v>8</v>
      </c>
      <c r="G529" s="389" t="s">
        <v>265</v>
      </c>
      <c r="H529" s="379">
        <v>1</v>
      </c>
      <c r="I529" s="379">
        <v>10</v>
      </c>
      <c r="J529" s="379">
        <f t="shared" si="40"/>
        <v>1</v>
      </c>
      <c r="K529" s="379">
        <f t="shared" si="41"/>
        <v>10</v>
      </c>
      <c r="L529" s="643">
        <f>IFERROR(IF(B529="funkcna poziadavka",VLOOKUP(G529,MODULY_CBA!$B$3:$E$23,4,0)*H529/SUMIFS($H$3:$H$199,$G$3:$G$199,G529,$B$3:$B$199,B529),),)</f>
        <v>0</v>
      </c>
      <c r="M529" s="379">
        <f>IFERROR(IF(B529="Funkcna poziadavka",VLOOKUP(G529,MODULY_CBA!$B$3:$E$23,3,0),),)</f>
        <v>0.93499999999999994</v>
      </c>
      <c r="N529" s="379">
        <f>IFERROR(IF(B529="funkcna poziadavka",VLOOKUP(G529,MODULY_CBA!$B$3:$E$23,2,0),),)</f>
        <v>1.18</v>
      </c>
      <c r="O529" s="378">
        <f t="shared" si="42"/>
        <v>11.032999999999999</v>
      </c>
      <c r="P529" s="377">
        <f>IFERROR(O529*VLOOKUP(G529,MODULY_CBA!$B$3:$F$23,5,0),)</f>
        <v>330.99</v>
      </c>
      <c r="Q529" s="478" t="str">
        <f>IFERROR(VLOOKUP(G529,MODULY_CBA!$B$3:$I$23,6,0),"")</f>
        <v>Inkrement 5</v>
      </c>
    </row>
    <row r="530" spans="1:17">
      <c r="A530" s="401">
        <v>528</v>
      </c>
      <c r="B530" s="401" t="s">
        <v>475</v>
      </c>
      <c r="C530" s="530" t="s">
        <v>1001</v>
      </c>
      <c r="D530" s="389" t="s">
        <v>1005</v>
      </c>
      <c r="E530" s="389"/>
      <c r="F530" s="389" t="s">
        <v>8</v>
      </c>
      <c r="G530" s="389" t="s">
        <v>265</v>
      </c>
      <c r="H530" s="379">
        <v>1</v>
      </c>
      <c r="I530" s="379">
        <v>10</v>
      </c>
      <c r="J530" s="379">
        <f t="shared" si="40"/>
        <v>1</v>
      </c>
      <c r="K530" s="379">
        <f t="shared" si="41"/>
        <v>10</v>
      </c>
      <c r="L530" s="643">
        <f>IFERROR(IF(B530="funkcna poziadavka",VLOOKUP(G530,MODULY_CBA!$B$3:$E$23,4,0)*H530/SUMIFS($H$3:$H$199,$G$3:$G$199,G530,$B$3:$B$199,B530),),)</f>
        <v>0</v>
      </c>
      <c r="M530" s="379">
        <f>IFERROR(IF(B530="Funkcna poziadavka",VLOOKUP(G530,MODULY_CBA!$B$3:$E$23,3,0),),)</f>
        <v>0.93499999999999994</v>
      </c>
      <c r="N530" s="379">
        <f>IFERROR(IF(B530="funkcna poziadavka",VLOOKUP(G530,MODULY_CBA!$B$3:$E$23,2,0),),)</f>
        <v>1.18</v>
      </c>
      <c r="O530" s="378">
        <f t="shared" si="42"/>
        <v>11.032999999999999</v>
      </c>
      <c r="P530" s="377">
        <f>IFERROR(O530*VLOOKUP(G530,MODULY_CBA!$B$3:$F$23,5,0),)</f>
        <v>330.99</v>
      </c>
      <c r="Q530" s="478" t="str">
        <f>IFERROR(VLOOKUP(G530,MODULY_CBA!$B$3:$I$23,6,0),"")</f>
        <v>Inkrement 5</v>
      </c>
    </row>
    <row r="531" spans="1:17">
      <c r="A531" s="401">
        <v>529</v>
      </c>
      <c r="B531" s="401" t="s">
        <v>475</v>
      </c>
      <c r="C531" s="530" t="s">
        <v>1001</v>
      </c>
      <c r="D531" s="389" t="s">
        <v>1006</v>
      </c>
      <c r="E531" s="389"/>
      <c r="F531" s="389" t="s">
        <v>8</v>
      </c>
      <c r="G531" s="389" t="s">
        <v>265</v>
      </c>
      <c r="H531" s="379">
        <v>1</v>
      </c>
      <c r="I531" s="379">
        <v>10</v>
      </c>
      <c r="J531" s="379">
        <f t="shared" si="40"/>
        <v>1</v>
      </c>
      <c r="K531" s="379">
        <f t="shared" si="41"/>
        <v>10</v>
      </c>
      <c r="L531" s="643">
        <f>IFERROR(IF(B531="funkcna poziadavka",VLOOKUP(G531,MODULY_CBA!$B$3:$E$23,4,0)*H531/SUMIFS($H$3:$H$199,$G$3:$G$199,G531,$B$3:$B$199,B531),),)</f>
        <v>0</v>
      </c>
      <c r="M531" s="379">
        <f>IFERROR(IF(B531="Funkcna poziadavka",VLOOKUP(G531,MODULY_CBA!$B$3:$E$23,3,0),),)</f>
        <v>0.93499999999999994</v>
      </c>
      <c r="N531" s="379">
        <f>IFERROR(IF(B531="funkcna poziadavka",VLOOKUP(G531,MODULY_CBA!$B$3:$E$23,2,0),),)</f>
        <v>1.18</v>
      </c>
      <c r="O531" s="378">
        <f t="shared" si="42"/>
        <v>11.032999999999999</v>
      </c>
      <c r="P531" s="377">
        <f>IFERROR(O531*VLOOKUP(G531,MODULY_CBA!$B$3:$F$23,5,0),)</f>
        <v>330.99</v>
      </c>
      <c r="Q531" s="478" t="str">
        <f>IFERROR(VLOOKUP(G531,MODULY_CBA!$B$3:$I$23,6,0),"")</f>
        <v>Inkrement 5</v>
      </c>
    </row>
    <row r="532" spans="1:17" ht="25.5">
      <c r="A532" s="401">
        <v>530</v>
      </c>
      <c r="B532" s="401" t="s">
        <v>475</v>
      </c>
      <c r="C532" s="530" t="s">
        <v>1007</v>
      </c>
      <c r="D532" s="389" t="s">
        <v>1008</v>
      </c>
      <c r="E532" s="389"/>
      <c r="F532" s="389" t="s">
        <v>8</v>
      </c>
      <c r="G532" s="389" t="s">
        <v>265</v>
      </c>
      <c r="H532" s="379">
        <v>1</v>
      </c>
      <c r="I532" s="379">
        <v>10</v>
      </c>
      <c r="J532" s="379">
        <f t="shared" si="40"/>
        <v>1</v>
      </c>
      <c r="K532" s="379">
        <f t="shared" si="41"/>
        <v>10</v>
      </c>
      <c r="L532" s="643">
        <f>IFERROR(IF(B532="funkcna poziadavka",VLOOKUP(G532,MODULY_CBA!$B$3:$E$23,4,0)*H532/SUMIFS($H$3:$H$199,$G$3:$G$199,G532,$B$3:$B$199,B532),),)</f>
        <v>0</v>
      </c>
      <c r="M532" s="379">
        <f>IFERROR(IF(B532="Funkcna poziadavka",VLOOKUP(G532,MODULY_CBA!$B$3:$E$23,3,0),),)</f>
        <v>0.93499999999999994</v>
      </c>
      <c r="N532" s="379">
        <f>IFERROR(IF(B532="funkcna poziadavka",VLOOKUP(G532,MODULY_CBA!$B$3:$E$23,2,0),),)</f>
        <v>1.18</v>
      </c>
      <c r="O532" s="378">
        <f t="shared" si="42"/>
        <v>11.032999999999999</v>
      </c>
      <c r="P532" s="377">
        <f>IFERROR(O532*VLOOKUP(G532,MODULY_CBA!$B$3:$F$23,5,0),)</f>
        <v>330.99</v>
      </c>
      <c r="Q532" s="478" t="str">
        <f>IFERROR(VLOOKUP(G532,MODULY_CBA!$B$3:$I$23,6,0),"")</f>
        <v>Inkrement 5</v>
      </c>
    </row>
    <row r="533" spans="1:17" ht="25.5">
      <c r="A533" s="401">
        <v>531</v>
      </c>
      <c r="B533" s="401" t="s">
        <v>475</v>
      </c>
      <c r="C533" s="530" t="s">
        <v>1007</v>
      </c>
      <c r="D533" s="389" t="s">
        <v>1009</v>
      </c>
      <c r="E533" s="389"/>
      <c r="F533" s="389" t="s">
        <v>8</v>
      </c>
      <c r="G533" s="389" t="s">
        <v>265</v>
      </c>
      <c r="H533" s="379">
        <v>1</v>
      </c>
      <c r="I533" s="379">
        <v>10</v>
      </c>
      <c r="J533" s="379">
        <f t="shared" si="40"/>
        <v>1</v>
      </c>
      <c r="K533" s="379">
        <f t="shared" si="41"/>
        <v>10</v>
      </c>
      <c r="L533" s="643">
        <f>IFERROR(IF(B533="funkcna poziadavka",VLOOKUP(G533,MODULY_CBA!$B$3:$E$23,4,0)*H533/SUMIFS($H$3:$H$199,$G$3:$G$199,G533,$B$3:$B$199,B533),),)</f>
        <v>0</v>
      </c>
      <c r="M533" s="379">
        <f>IFERROR(IF(B533="Funkcna poziadavka",VLOOKUP(G533,MODULY_CBA!$B$3:$E$23,3,0),),)</f>
        <v>0.93499999999999994</v>
      </c>
      <c r="N533" s="379">
        <f>IFERROR(IF(B533="funkcna poziadavka",VLOOKUP(G533,MODULY_CBA!$B$3:$E$23,2,0),),)</f>
        <v>1.18</v>
      </c>
      <c r="O533" s="378">
        <f t="shared" si="42"/>
        <v>11.032999999999999</v>
      </c>
      <c r="P533" s="377">
        <f>IFERROR(O533*VLOOKUP(G533,MODULY_CBA!$B$3:$F$23,5,0),)</f>
        <v>330.99</v>
      </c>
      <c r="Q533" s="478" t="str">
        <f>IFERROR(VLOOKUP(G533,MODULY_CBA!$B$3:$I$23,6,0),"")</f>
        <v>Inkrement 5</v>
      </c>
    </row>
    <row r="534" spans="1:17" ht="25.5">
      <c r="A534" s="401">
        <v>532</v>
      </c>
      <c r="B534" s="401" t="s">
        <v>475</v>
      </c>
      <c r="C534" s="530" t="s">
        <v>1007</v>
      </c>
      <c r="D534" s="389" t="s">
        <v>1010</v>
      </c>
      <c r="E534" s="389"/>
      <c r="F534" s="389" t="s">
        <v>8</v>
      </c>
      <c r="G534" s="389" t="s">
        <v>265</v>
      </c>
      <c r="H534" s="379">
        <v>1</v>
      </c>
      <c r="I534" s="379">
        <v>10</v>
      </c>
      <c r="J534" s="379">
        <f t="shared" si="40"/>
        <v>1</v>
      </c>
      <c r="K534" s="379">
        <f t="shared" si="41"/>
        <v>10</v>
      </c>
      <c r="L534" s="643">
        <f>IFERROR(IF(B534="funkcna poziadavka",VLOOKUP(G534,MODULY_CBA!$B$3:$E$23,4,0)*H534/SUMIFS($H$3:$H$199,$G$3:$G$199,G534,$B$3:$B$199,B534),),)</f>
        <v>0</v>
      </c>
      <c r="M534" s="379">
        <f>IFERROR(IF(B534="Funkcna poziadavka",VLOOKUP(G534,MODULY_CBA!$B$3:$E$23,3,0),),)</f>
        <v>0.93499999999999994</v>
      </c>
      <c r="N534" s="379">
        <f>IFERROR(IF(B534="funkcna poziadavka",VLOOKUP(G534,MODULY_CBA!$B$3:$E$23,2,0),),)</f>
        <v>1.18</v>
      </c>
      <c r="O534" s="378">
        <f t="shared" si="42"/>
        <v>11.032999999999999</v>
      </c>
      <c r="P534" s="377">
        <f>IFERROR(O534*VLOOKUP(G534,MODULY_CBA!$B$3:$F$23,5,0),)</f>
        <v>330.99</v>
      </c>
      <c r="Q534" s="478" t="str">
        <f>IFERROR(VLOOKUP(G534,MODULY_CBA!$B$3:$I$23,6,0),"")</f>
        <v>Inkrement 5</v>
      </c>
    </row>
    <row r="535" spans="1:17" ht="25.5">
      <c r="A535" s="401">
        <v>533</v>
      </c>
      <c r="B535" s="401" t="s">
        <v>475</v>
      </c>
      <c r="C535" s="530" t="s">
        <v>1007</v>
      </c>
      <c r="D535" s="389" t="s">
        <v>1011</v>
      </c>
      <c r="E535" s="389"/>
      <c r="F535" s="389" t="s">
        <v>8</v>
      </c>
      <c r="G535" s="389" t="s">
        <v>265</v>
      </c>
      <c r="H535" s="379">
        <v>1</v>
      </c>
      <c r="I535" s="379">
        <v>10</v>
      </c>
      <c r="J535" s="379">
        <f t="shared" si="40"/>
        <v>1</v>
      </c>
      <c r="K535" s="379">
        <f t="shared" si="41"/>
        <v>10</v>
      </c>
      <c r="L535" s="643">
        <f>IFERROR(IF(B535="funkcna poziadavka",VLOOKUP(G535,MODULY_CBA!$B$3:$E$23,4,0)*H535/SUMIFS($H$3:$H$199,$G$3:$G$199,G535,$B$3:$B$199,B535),),)</f>
        <v>0</v>
      </c>
      <c r="M535" s="379">
        <f>IFERROR(IF(B535="Funkcna poziadavka",VLOOKUP(G535,MODULY_CBA!$B$3:$E$23,3,0),),)</f>
        <v>0.93499999999999994</v>
      </c>
      <c r="N535" s="379">
        <f>IFERROR(IF(B535="funkcna poziadavka",VLOOKUP(G535,MODULY_CBA!$B$3:$E$23,2,0),),)</f>
        <v>1.18</v>
      </c>
      <c r="O535" s="378">
        <f t="shared" si="42"/>
        <v>11.032999999999999</v>
      </c>
      <c r="P535" s="377">
        <f>IFERROR(O535*VLOOKUP(G535,MODULY_CBA!$B$3:$F$23,5,0),)</f>
        <v>330.99</v>
      </c>
      <c r="Q535" s="478" t="str">
        <f>IFERROR(VLOOKUP(G535,MODULY_CBA!$B$3:$I$23,6,0),"")</f>
        <v>Inkrement 5</v>
      </c>
    </row>
    <row r="536" spans="1:17" ht="25.5">
      <c r="A536" s="401">
        <v>534</v>
      </c>
      <c r="B536" s="401" t="s">
        <v>475</v>
      </c>
      <c r="C536" s="530" t="s">
        <v>1007</v>
      </c>
      <c r="D536" s="389" t="s">
        <v>1012</v>
      </c>
      <c r="E536" s="389"/>
      <c r="F536" s="389" t="s">
        <v>8</v>
      </c>
      <c r="G536" s="389" t="s">
        <v>265</v>
      </c>
      <c r="H536" s="379">
        <v>1</v>
      </c>
      <c r="I536" s="379">
        <v>10</v>
      </c>
      <c r="J536" s="379">
        <f t="shared" si="40"/>
        <v>1</v>
      </c>
      <c r="K536" s="379">
        <f t="shared" si="41"/>
        <v>10</v>
      </c>
      <c r="L536" s="643">
        <f>IFERROR(IF(B536="funkcna poziadavka",VLOOKUP(G536,MODULY_CBA!$B$3:$E$23,4,0)*H536/SUMIFS($H$3:$H$199,$G$3:$G$199,G536,$B$3:$B$199,B536),),)</f>
        <v>0</v>
      </c>
      <c r="M536" s="379">
        <f>IFERROR(IF(B536="Funkcna poziadavka",VLOOKUP(G536,MODULY_CBA!$B$3:$E$23,3,0),),)</f>
        <v>0.93499999999999994</v>
      </c>
      <c r="N536" s="379">
        <f>IFERROR(IF(B536="funkcna poziadavka",VLOOKUP(G536,MODULY_CBA!$B$3:$E$23,2,0),),)</f>
        <v>1.18</v>
      </c>
      <c r="O536" s="378">
        <f t="shared" si="42"/>
        <v>11.032999999999999</v>
      </c>
      <c r="P536" s="377">
        <f>IFERROR(O536*VLOOKUP(G536,MODULY_CBA!$B$3:$F$23,5,0),)</f>
        <v>330.99</v>
      </c>
      <c r="Q536" s="478" t="str">
        <f>IFERROR(VLOOKUP(G536,MODULY_CBA!$B$3:$I$23,6,0),"")</f>
        <v>Inkrement 5</v>
      </c>
    </row>
    <row r="537" spans="1:17" ht="25.5">
      <c r="A537" s="401">
        <v>535</v>
      </c>
      <c r="B537" s="401" t="s">
        <v>475</v>
      </c>
      <c r="C537" s="530" t="s">
        <v>1007</v>
      </c>
      <c r="D537" s="389" t="s">
        <v>1013</v>
      </c>
      <c r="E537" s="389"/>
      <c r="F537" s="389" t="s">
        <v>8</v>
      </c>
      <c r="G537" s="389" t="s">
        <v>265</v>
      </c>
      <c r="H537" s="379">
        <v>1</v>
      </c>
      <c r="I537" s="379">
        <v>10</v>
      </c>
      <c r="J537" s="379">
        <f t="shared" si="40"/>
        <v>1</v>
      </c>
      <c r="K537" s="379">
        <f t="shared" si="41"/>
        <v>10</v>
      </c>
      <c r="L537" s="643">
        <f>IFERROR(IF(B537="funkcna poziadavka",VLOOKUP(G537,MODULY_CBA!$B$3:$E$23,4,0)*H537/SUMIFS($H$3:$H$199,$G$3:$G$199,G537,$B$3:$B$199,B537),),)</f>
        <v>0</v>
      </c>
      <c r="M537" s="379">
        <f>IFERROR(IF(B537="Funkcna poziadavka",VLOOKUP(G537,MODULY_CBA!$B$3:$E$23,3,0),),)</f>
        <v>0.93499999999999994</v>
      </c>
      <c r="N537" s="379">
        <f>IFERROR(IF(B537="funkcna poziadavka",VLOOKUP(G537,MODULY_CBA!$B$3:$E$23,2,0),),)</f>
        <v>1.18</v>
      </c>
      <c r="O537" s="378">
        <f t="shared" si="42"/>
        <v>11.032999999999999</v>
      </c>
      <c r="P537" s="377">
        <f>IFERROR(O537*VLOOKUP(G537,MODULY_CBA!$B$3:$F$23,5,0),)</f>
        <v>330.99</v>
      </c>
      <c r="Q537" s="478" t="str">
        <f>IFERROR(VLOOKUP(G537,MODULY_CBA!$B$3:$I$23,6,0),"")</f>
        <v>Inkrement 5</v>
      </c>
    </row>
    <row r="538" spans="1:17" ht="25.5">
      <c r="A538" s="401">
        <v>536</v>
      </c>
      <c r="B538" s="401" t="s">
        <v>475</v>
      </c>
      <c r="C538" s="530" t="s">
        <v>1007</v>
      </c>
      <c r="D538" s="389" t="s">
        <v>1014</v>
      </c>
      <c r="E538" s="531"/>
      <c r="F538" s="389" t="s">
        <v>8</v>
      </c>
      <c r="G538" s="389" t="s">
        <v>265</v>
      </c>
      <c r="H538" s="379">
        <v>1</v>
      </c>
      <c r="I538" s="379">
        <v>10</v>
      </c>
      <c r="J538" s="379">
        <f t="shared" si="40"/>
        <v>1</v>
      </c>
      <c r="K538" s="379">
        <f t="shared" si="41"/>
        <v>10</v>
      </c>
      <c r="L538" s="643">
        <f>IFERROR(IF(B538="funkcna poziadavka",VLOOKUP(G538,MODULY_CBA!$B$3:$E$23,4,0)*H538/SUMIFS($H$3:$H$199,$G$3:$G$199,G538,$B$3:$B$199,B538),),)</f>
        <v>0</v>
      </c>
      <c r="M538" s="379">
        <f>IFERROR(IF(B538="Funkcna poziadavka",VLOOKUP(G538,MODULY_CBA!$B$3:$E$23,3,0),),)</f>
        <v>0.93499999999999994</v>
      </c>
      <c r="N538" s="379">
        <f>IFERROR(IF(B538="funkcna poziadavka",VLOOKUP(G538,MODULY_CBA!$B$3:$E$23,2,0),),)</f>
        <v>1.18</v>
      </c>
      <c r="O538" s="378">
        <f t="shared" si="42"/>
        <v>11.032999999999999</v>
      </c>
      <c r="P538" s="377">
        <f>IFERROR(O538*VLOOKUP(G538,MODULY_CBA!$B$3:$F$23,5,0),)</f>
        <v>330.99</v>
      </c>
      <c r="Q538" s="478" t="str">
        <f>IFERROR(VLOOKUP(G538,MODULY_CBA!$B$3:$I$23,6,0),"")</f>
        <v>Inkrement 5</v>
      </c>
    </row>
    <row r="539" spans="1:17" ht="25.5">
      <c r="A539" s="401">
        <v>537</v>
      </c>
      <c r="B539" s="401" t="s">
        <v>475</v>
      </c>
      <c r="C539" s="530" t="s">
        <v>1007</v>
      </c>
      <c r="D539" s="389" t="s">
        <v>1015</v>
      </c>
      <c r="E539" s="531"/>
      <c r="F539" s="389" t="s">
        <v>8</v>
      </c>
      <c r="G539" s="389" t="s">
        <v>265</v>
      </c>
      <c r="H539" s="379">
        <v>1</v>
      </c>
      <c r="I539" s="379">
        <v>10</v>
      </c>
      <c r="J539" s="379">
        <f t="shared" si="40"/>
        <v>1</v>
      </c>
      <c r="K539" s="379">
        <f t="shared" si="41"/>
        <v>10</v>
      </c>
      <c r="L539" s="643">
        <f>IFERROR(IF(B539="funkcna poziadavka",VLOOKUP(G539,MODULY_CBA!$B$3:$E$23,4,0)*H539/SUMIFS($H$3:$H$199,$G$3:$G$199,G539,$B$3:$B$199,B539),),)</f>
        <v>0</v>
      </c>
      <c r="M539" s="379">
        <f>IFERROR(IF(B539="Funkcna poziadavka",VLOOKUP(G539,MODULY_CBA!$B$3:$E$23,3,0),),)</f>
        <v>0.93499999999999994</v>
      </c>
      <c r="N539" s="379">
        <f>IFERROR(IF(B539="funkcna poziadavka",VLOOKUP(G539,MODULY_CBA!$B$3:$E$23,2,0),),)</f>
        <v>1.18</v>
      </c>
      <c r="O539" s="378">
        <f t="shared" si="42"/>
        <v>11.032999999999999</v>
      </c>
      <c r="P539" s="377">
        <f>IFERROR(O539*VLOOKUP(G539,MODULY_CBA!$B$3:$F$23,5,0),)</f>
        <v>330.99</v>
      </c>
      <c r="Q539" s="478" t="str">
        <f>IFERROR(VLOOKUP(G539,MODULY_CBA!$B$3:$I$23,6,0),"")</f>
        <v>Inkrement 5</v>
      </c>
    </row>
    <row r="540" spans="1:17" ht="25.5">
      <c r="A540" s="401">
        <v>538</v>
      </c>
      <c r="B540" s="401" t="s">
        <v>475</v>
      </c>
      <c r="C540" s="530" t="s">
        <v>1016</v>
      </c>
      <c r="D540" s="389" t="s">
        <v>1017</v>
      </c>
      <c r="E540" s="389"/>
      <c r="F540" s="389" t="s">
        <v>8</v>
      </c>
      <c r="G540" s="389" t="s">
        <v>265</v>
      </c>
      <c r="H540" s="379">
        <v>1</v>
      </c>
      <c r="I540" s="379">
        <v>10</v>
      </c>
      <c r="J540" s="379">
        <f t="shared" si="40"/>
        <v>1</v>
      </c>
      <c r="K540" s="379">
        <f t="shared" si="41"/>
        <v>10</v>
      </c>
      <c r="L540" s="643">
        <f>IFERROR(IF(B540="funkcna poziadavka",VLOOKUP(G540,MODULY_CBA!$B$3:$E$23,4,0)*H540/SUMIFS($H$3:$H$199,$G$3:$G$199,G540,$B$3:$B$199,B540),),)</f>
        <v>0</v>
      </c>
      <c r="M540" s="379">
        <f>IFERROR(IF(B540="Funkcna poziadavka",VLOOKUP(G540,MODULY_CBA!$B$3:$E$23,3,0),),)</f>
        <v>0.93499999999999994</v>
      </c>
      <c r="N540" s="379">
        <f>IFERROR(IF(B540="funkcna poziadavka",VLOOKUP(G540,MODULY_CBA!$B$3:$E$23,2,0),),)</f>
        <v>1.18</v>
      </c>
      <c r="O540" s="378">
        <f t="shared" si="42"/>
        <v>11.032999999999999</v>
      </c>
      <c r="P540" s="377">
        <f>IFERROR(O540*VLOOKUP(G540,MODULY_CBA!$B$3:$F$23,5,0),)</f>
        <v>330.99</v>
      </c>
      <c r="Q540" s="478" t="str">
        <f>IFERROR(VLOOKUP(G540,MODULY_CBA!$B$3:$I$23,6,0),"")</f>
        <v>Inkrement 5</v>
      </c>
    </row>
    <row r="541" spans="1:17" ht="25.5">
      <c r="A541" s="401">
        <v>539</v>
      </c>
      <c r="B541" s="401" t="s">
        <v>475</v>
      </c>
      <c r="C541" s="530" t="s">
        <v>1016</v>
      </c>
      <c r="D541" s="389" t="s">
        <v>1018</v>
      </c>
      <c r="E541" s="389"/>
      <c r="F541" s="389" t="s">
        <v>8</v>
      </c>
      <c r="G541" s="389" t="s">
        <v>265</v>
      </c>
      <c r="H541" s="379">
        <v>1</v>
      </c>
      <c r="I541" s="379">
        <v>10</v>
      </c>
      <c r="J541" s="379">
        <f t="shared" si="40"/>
        <v>1</v>
      </c>
      <c r="K541" s="379">
        <f t="shared" si="41"/>
        <v>10</v>
      </c>
      <c r="L541" s="643">
        <f>IFERROR(IF(B541="funkcna poziadavka",VLOOKUP(G541,MODULY_CBA!$B$3:$E$23,4,0)*H541/SUMIFS($H$3:$H$199,$G$3:$G$199,G541,$B$3:$B$199,B541),),)</f>
        <v>0</v>
      </c>
      <c r="M541" s="379">
        <f>IFERROR(IF(B541="Funkcna poziadavka",VLOOKUP(G541,MODULY_CBA!$B$3:$E$23,3,0),),)</f>
        <v>0.93499999999999994</v>
      </c>
      <c r="N541" s="379">
        <f>IFERROR(IF(B541="funkcna poziadavka",VLOOKUP(G541,MODULY_CBA!$B$3:$E$23,2,0),),)</f>
        <v>1.18</v>
      </c>
      <c r="O541" s="378">
        <f t="shared" si="42"/>
        <v>11.032999999999999</v>
      </c>
      <c r="P541" s="377">
        <f>IFERROR(O541*VLOOKUP(G541,MODULY_CBA!$B$3:$F$23,5,0),)</f>
        <v>330.99</v>
      </c>
      <c r="Q541" s="478" t="str">
        <f>IFERROR(VLOOKUP(G541,MODULY_CBA!$B$3:$I$23,6,0),"")</f>
        <v>Inkrement 5</v>
      </c>
    </row>
    <row r="542" spans="1:17" ht="25.5">
      <c r="A542" s="401">
        <v>540</v>
      </c>
      <c r="B542" s="401" t="s">
        <v>475</v>
      </c>
      <c r="C542" s="530" t="s">
        <v>1016</v>
      </c>
      <c r="D542" s="389" t="s">
        <v>1019</v>
      </c>
      <c r="E542" s="389"/>
      <c r="F542" s="389" t="s">
        <v>8</v>
      </c>
      <c r="G542" s="389" t="s">
        <v>265</v>
      </c>
      <c r="H542" s="379">
        <v>1</v>
      </c>
      <c r="I542" s="379">
        <v>10</v>
      </c>
      <c r="J542" s="379">
        <f t="shared" si="40"/>
        <v>1</v>
      </c>
      <c r="K542" s="379">
        <f t="shared" si="41"/>
        <v>10</v>
      </c>
      <c r="L542" s="643">
        <f>IFERROR(IF(B542="funkcna poziadavka",VLOOKUP(G542,MODULY_CBA!$B$3:$E$23,4,0)*H542/SUMIFS($H$3:$H$199,$G$3:$G$199,G542,$B$3:$B$199,B542),),)</f>
        <v>0</v>
      </c>
      <c r="M542" s="379">
        <f>IFERROR(IF(B542="Funkcna poziadavka",VLOOKUP(G542,MODULY_CBA!$B$3:$E$23,3,0),),)</f>
        <v>0.93499999999999994</v>
      </c>
      <c r="N542" s="379">
        <f>IFERROR(IF(B542="funkcna poziadavka",VLOOKUP(G542,MODULY_CBA!$B$3:$E$23,2,0),),)</f>
        <v>1.18</v>
      </c>
      <c r="O542" s="378">
        <f t="shared" si="42"/>
        <v>11.032999999999999</v>
      </c>
      <c r="P542" s="377">
        <f>IFERROR(O542*VLOOKUP(G542,MODULY_CBA!$B$3:$F$23,5,0),)</f>
        <v>330.99</v>
      </c>
      <c r="Q542" s="478" t="str">
        <f>IFERROR(VLOOKUP(G542,MODULY_CBA!$B$3:$I$23,6,0),"")</f>
        <v>Inkrement 5</v>
      </c>
    </row>
    <row r="543" spans="1:17" ht="25.5">
      <c r="A543" s="401">
        <v>541</v>
      </c>
      <c r="B543" s="401" t="s">
        <v>475</v>
      </c>
      <c r="C543" s="530" t="s">
        <v>1020</v>
      </c>
      <c r="D543" s="532" t="s">
        <v>1021</v>
      </c>
      <c r="E543" s="533"/>
      <c r="F543" s="389" t="s">
        <v>8</v>
      </c>
      <c r="G543" s="389" t="s">
        <v>265</v>
      </c>
      <c r="H543" s="379">
        <v>1</v>
      </c>
      <c r="I543" s="379">
        <v>10</v>
      </c>
      <c r="J543" s="379">
        <f t="shared" si="40"/>
        <v>1</v>
      </c>
      <c r="K543" s="379">
        <f t="shared" si="41"/>
        <v>10</v>
      </c>
      <c r="L543" s="643">
        <f>IFERROR(IF(B543="funkcna poziadavka",VLOOKUP(G543,MODULY_CBA!$B$3:$E$23,4,0)*H543/SUMIFS($H$3:$H$199,$G$3:$G$199,G543,$B$3:$B$199,B543),),)</f>
        <v>0</v>
      </c>
      <c r="M543" s="379">
        <f>IFERROR(IF(B543="Funkcna poziadavka",VLOOKUP(G543,MODULY_CBA!$B$3:$E$23,3,0),),)</f>
        <v>0.93499999999999994</v>
      </c>
      <c r="N543" s="379">
        <f>IFERROR(IF(B543="funkcna poziadavka",VLOOKUP(G543,MODULY_CBA!$B$3:$E$23,2,0),),)</f>
        <v>1.18</v>
      </c>
      <c r="O543" s="378">
        <f t="shared" si="42"/>
        <v>11.032999999999999</v>
      </c>
      <c r="P543" s="377">
        <f>IFERROR(O543*VLOOKUP(G543,MODULY_CBA!$B$3:$F$23,5,0),)</f>
        <v>330.99</v>
      </c>
      <c r="Q543" s="478" t="str">
        <f>IFERROR(VLOOKUP(G543,MODULY_CBA!$B$3:$I$23,6,0),"")</f>
        <v>Inkrement 5</v>
      </c>
    </row>
    <row r="544" spans="1:17" ht="25.5">
      <c r="A544" s="401">
        <v>542</v>
      </c>
      <c r="B544" s="401" t="s">
        <v>475</v>
      </c>
      <c r="C544" s="530" t="s">
        <v>1020</v>
      </c>
      <c r="D544" s="530" t="s">
        <v>1022</v>
      </c>
      <c r="E544" s="533"/>
      <c r="F544" s="389" t="s">
        <v>8</v>
      </c>
      <c r="G544" s="389" t="s">
        <v>265</v>
      </c>
      <c r="H544" s="379">
        <v>1</v>
      </c>
      <c r="I544" s="379">
        <v>10</v>
      </c>
      <c r="J544" s="379">
        <f t="shared" si="40"/>
        <v>1</v>
      </c>
      <c r="K544" s="379">
        <f t="shared" si="41"/>
        <v>10</v>
      </c>
      <c r="L544" s="643">
        <f>IFERROR(IF(B544="funkcna poziadavka",VLOOKUP(G544,MODULY_CBA!$B$3:$E$23,4,0)*H544/SUMIFS($H$3:$H$199,$G$3:$G$199,G544,$B$3:$B$199,B544),),)</f>
        <v>0</v>
      </c>
      <c r="M544" s="379">
        <f>IFERROR(IF(B544="Funkcna poziadavka",VLOOKUP(G544,MODULY_CBA!$B$3:$E$23,3,0),),)</f>
        <v>0.93499999999999994</v>
      </c>
      <c r="N544" s="379">
        <f>IFERROR(IF(B544="funkcna poziadavka",VLOOKUP(G544,MODULY_CBA!$B$3:$E$23,2,0),),)</f>
        <v>1.18</v>
      </c>
      <c r="O544" s="378">
        <f t="shared" si="42"/>
        <v>11.032999999999999</v>
      </c>
      <c r="P544" s="377">
        <f>IFERROR(O544*VLOOKUP(G544,MODULY_CBA!$B$3:$F$23,5,0),)</f>
        <v>330.99</v>
      </c>
      <c r="Q544" s="478" t="str">
        <f>IFERROR(VLOOKUP(G544,MODULY_CBA!$B$3:$I$23,6,0),"")</f>
        <v>Inkrement 5</v>
      </c>
    </row>
    <row r="545" spans="1:17" ht="25.5">
      <c r="A545" s="401">
        <v>543</v>
      </c>
      <c r="B545" s="401" t="s">
        <v>475</v>
      </c>
      <c r="C545" s="530" t="s">
        <v>1020</v>
      </c>
      <c r="D545" s="530" t="s">
        <v>1023</v>
      </c>
      <c r="E545" s="389"/>
      <c r="F545" s="389" t="s">
        <v>8</v>
      </c>
      <c r="G545" s="389" t="s">
        <v>265</v>
      </c>
      <c r="H545" s="379">
        <v>1</v>
      </c>
      <c r="I545" s="379">
        <v>10</v>
      </c>
      <c r="J545" s="379">
        <f t="shared" si="40"/>
        <v>1</v>
      </c>
      <c r="K545" s="379">
        <f t="shared" si="41"/>
        <v>10</v>
      </c>
      <c r="L545" s="643">
        <f>IFERROR(IF(B545="funkcna poziadavka",VLOOKUP(G545,MODULY_CBA!$B$3:$E$23,4,0)*H545/SUMIFS($H$3:$H$199,$G$3:$G$199,G545,$B$3:$B$199,B545),),)</f>
        <v>0</v>
      </c>
      <c r="M545" s="379">
        <f>IFERROR(IF(B545="Funkcna poziadavka",VLOOKUP(G545,MODULY_CBA!$B$3:$E$23,3,0),),)</f>
        <v>0.93499999999999994</v>
      </c>
      <c r="N545" s="379">
        <f>IFERROR(IF(B545="funkcna poziadavka",VLOOKUP(G545,MODULY_CBA!$B$3:$E$23,2,0),),)</f>
        <v>1.18</v>
      </c>
      <c r="O545" s="378">
        <f t="shared" si="42"/>
        <v>11.032999999999999</v>
      </c>
      <c r="P545" s="377">
        <f>IFERROR(O545*VLOOKUP(G545,MODULY_CBA!$B$3:$F$23,5,0),)</f>
        <v>330.99</v>
      </c>
      <c r="Q545" s="478" t="str">
        <f>IFERROR(VLOOKUP(G545,MODULY_CBA!$B$3:$I$23,6,0),"")</f>
        <v>Inkrement 5</v>
      </c>
    </row>
    <row r="546" spans="1:17">
      <c r="A546" s="401">
        <v>544</v>
      </c>
      <c r="B546" s="401" t="s">
        <v>475</v>
      </c>
      <c r="C546" s="530" t="s">
        <v>1024</v>
      </c>
      <c r="D546" s="530" t="s">
        <v>1025</v>
      </c>
      <c r="E546" s="389"/>
      <c r="F546" s="389" t="s">
        <v>8</v>
      </c>
      <c r="G546" s="389" t="s">
        <v>265</v>
      </c>
      <c r="H546" s="379">
        <v>1</v>
      </c>
      <c r="I546" s="379">
        <v>5</v>
      </c>
      <c r="J546" s="379">
        <f t="shared" si="40"/>
        <v>1</v>
      </c>
      <c r="K546" s="379">
        <f t="shared" si="41"/>
        <v>5</v>
      </c>
      <c r="L546" s="643">
        <f>IFERROR(IF(B546="funkcna poziadavka",VLOOKUP(G546,MODULY_CBA!$B$3:$E$23,4,0)*H546/SUMIFS($H$3:$H$199,$G$3:$G$199,G546,$B$3:$B$199,B546),),)</f>
        <v>0</v>
      </c>
      <c r="M546" s="379">
        <f>IFERROR(IF(B546="Funkcna poziadavka",VLOOKUP(G546,MODULY_CBA!$B$3:$E$23,3,0),),)</f>
        <v>0.93499999999999994</v>
      </c>
      <c r="N546" s="379">
        <f>IFERROR(IF(B546="funkcna poziadavka",VLOOKUP(G546,MODULY_CBA!$B$3:$E$23,2,0),),)</f>
        <v>1.18</v>
      </c>
      <c r="O546" s="378">
        <f t="shared" si="42"/>
        <v>5.5164999999999997</v>
      </c>
      <c r="P546" s="377">
        <f>IFERROR(O546*VLOOKUP(G546,MODULY_CBA!$B$3:$F$23,5,0),)</f>
        <v>165.495</v>
      </c>
      <c r="Q546" s="478" t="str">
        <f>IFERROR(VLOOKUP(G546,MODULY_CBA!$B$3:$I$23,6,0),"")</f>
        <v>Inkrement 5</v>
      </c>
    </row>
    <row r="547" spans="1:17">
      <c r="A547" s="401">
        <v>545</v>
      </c>
      <c r="B547" s="401" t="s">
        <v>475</v>
      </c>
      <c r="C547" s="530" t="s">
        <v>1024</v>
      </c>
      <c r="D547" s="530" t="s">
        <v>1026</v>
      </c>
      <c r="E547" s="389"/>
      <c r="F547" s="389" t="s">
        <v>8</v>
      </c>
      <c r="G547" s="389" t="s">
        <v>265</v>
      </c>
      <c r="H547" s="379">
        <v>1</v>
      </c>
      <c r="I547" s="379">
        <v>5</v>
      </c>
      <c r="J547" s="379">
        <f t="shared" si="40"/>
        <v>1</v>
      </c>
      <c r="K547" s="379">
        <f t="shared" si="41"/>
        <v>5</v>
      </c>
      <c r="L547" s="643">
        <f>IFERROR(IF(B547="funkcna poziadavka",VLOOKUP(G547,MODULY_CBA!$B$3:$E$23,4,0)*H547/SUMIFS($H$3:$H$199,$G$3:$G$199,G547,$B$3:$B$199,B547),),)</f>
        <v>0</v>
      </c>
      <c r="M547" s="379">
        <f>IFERROR(IF(B547="Funkcna poziadavka",VLOOKUP(G547,MODULY_CBA!$B$3:$E$23,3,0),),)</f>
        <v>0.93499999999999994</v>
      </c>
      <c r="N547" s="379">
        <f>IFERROR(IF(B547="funkcna poziadavka",VLOOKUP(G547,MODULY_CBA!$B$3:$E$23,2,0),),)</f>
        <v>1.18</v>
      </c>
      <c r="O547" s="378">
        <f t="shared" si="42"/>
        <v>5.5164999999999997</v>
      </c>
      <c r="P547" s="377">
        <f>IFERROR(O547*VLOOKUP(G547,MODULY_CBA!$B$3:$F$23,5,0),)</f>
        <v>165.495</v>
      </c>
      <c r="Q547" s="478" t="str">
        <f>IFERROR(VLOOKUP(G547,MODULY_CBA!$B$3:$I$23,6,0),"")</f>
        <v>Inkrement 5</v>
      </c>
    </row>
    <row r="548" spans="1:17">
      <c r="A548" s="401">
        <v>546</v>
      </c>
      <c r="B548" s="401" t="s">
        <v>475</v>
      </c>
      <c r="C548" s="530" t="s">
        <v>1024</v>
      </c>
      <c r="D548" s="530" t="s">
        <v>1027</v>
      </c>
      <c r="E548" s="389"/>
      <c r="F548" s="389" t="s">
        <v>8</v>
      </c>
      <c r="G548" s="389" t="s">
        <v>265</v>
      </c>
      <c r="H548" s="379">
        <v>1</v>
      </c>
      <c r="I548" s="379">
        <v>5</v>
      </c>
      <c r="J548" s="379">
        <f t="shared" si="40"/>
        <v>1</v>
      </c>
      <c r="K548" s="379">
        <f t="shared" si="41"/>
        <v>5</v>
      </c>
      <c r="L548" s="643">
        <f>IFERROR(IF(B548="funkcna poziadavka",VLOOKUP(G548,MODULY_CBA!$B$3:$E$23,4,0)*H548/SUMIFS($H$3:$H$199,$G$3:$G$199,G548,$B$3:$B$199,B548),),)</f>
        <v>0</v>
      </c>
      <c r="M548" s="379">
        <f>IFERROR(IF(B548="Funkcna poziadavka",VLOOKUP(G548,MODULY_CBA!$B$3:$E$23,3,0),),)</f>
        <v>0.93499999999999994</v>
      </c>
      <c r="N548" s="379">
        <f>IFERROR(IF(B548="funkcna poziadavka",VLOOKUP(G548,MODULY_CBA!$B$3:$E$23,2,0),),)</f>
        <v>1.18</v>
      </c>
      <c r="O548" s="378">
        <f t="shared" si="42"/>
        <v>5.5164999999999997</v>
      </c>
      <c r="P548" s="377">
        <f>IFERROR(O548*VLOOKUP(G548,MODULY_CBA!$B$3:$F$23,5,0),)</f>
        <v>165.495</v>
      </c>
      <c r="Q548" s="478" t="str">
        <f>IFERROR(VLOOKUP(G548,MODULY_CBA!$B$3:$I$23,6,0),"")</f>
        <v>Inkrement 5</v>
      </c>
    </row>
    <row r="549" spans="1:17">
      <c r="A549" s="401">
        <v>547</v>
      </c>
      <c r="B549" s="401" t="s">
        <v>475</v>
      </c>
      <c r="C549" s="530" t="s">
        <v>1028</v>
      </c>
      <c r="D549" s="530" t="s">
        <v>1029</v>
      </c>
      <c r="E549" s="530"/>
      <c r="F549" s="389" t="s">
        <v>8</v>
      </c>
      <c r="G549" s="389" t="s">
        <v>265</v>
      </c>
      <c r="H549" s="379">
        <v>1</v>
      </c>
      <c r="I549" s="379">
        <v>5</v>
      </c>
      <c r="J549" s="379">
        <f t="shared" si="40"/>
        <v>1</v>
      </c>
      <c r="K549" s="379">
        <f t="shared" si="41"/>
        <v>5</v>
      </c>
      <c r="L549" s="643">
        <f>IFERROR(IF(B549="funkcna poziadavka",VLOOKUP(G549,MODULY_CBA!$B$3:$E$23,4,0)*H549/SUMIFS($H$3:$H$199,$G$3:$G$199,G549,$B$3:$B$199,B549),),)</f>
        <v>0</v>
      </c>
      <c r="M549" s="379">
        <f>IFERROR(IF(B549="Funkcna poziadavka",VLOOKUP(G549,MODULY_CBA!$B$3:$E$23,3,0),),)</f>
        <v>0.93499999999999994</v>
      </c>
      <c r="N549" s="379">
        <f>IFERROR(IF(B549="funkcna poziadavka",VLOOKUP(G549,MODULY_CBA!$B$3:$E$23,2,0),),)</f>
        <v>1.18</v>
      </c>
      <c r="O549" s="378">
        <f t="shared" si="42"/>
        <v>5.5164999999999997</v>
      </c>
      <c r="P549" s="377">
        <f>IFERROR(O549*VLOOKUP(G549,MODULY_CBA!$B$3:$F$23,5,0),)</f>
        <v>165.495</v>
      </c>
      <c r="Q549" s="478" t="str">
        <f>IFERROR(VLOOKUP(G549,MODULY_CBA!$B$3:$I$23,6,0),"")</f>
        <v>Inkrement 5</v>
      </c>
    </row>
    <row r="550" spans="1:17">
      <c r="A550" s="401">
        <v>548</v>
      </c>
      <c r="B550" s="401" t="s">
        <v>475</v>
      </c>
      <c r="C550" s="530" t="s">
        <v>1028</v>
      </c>
      <c r="D550" s="530" t="s">
        <v>1030</v>
      </c>
      <c r="E550" s="530"/>
      <c r="F550" s="389" t="s">
        <v>8</v>
      </c>
      <c r="G550" s="389" t="s">
        <v>265</v>
      </c>
      <c r="H550" s="379">
        <v>1</v>
      </c>
      <c r="I550" s="379">
        <v>5</v>
      </c>
      <c r="J550" s="379">
        <f t="shared" si="40"/>
        <v>1</v>
      </c>
      <c r="K550" s="379">
        <f t="shared" si="41"/>
        <v>5</v>
      </c>
      <c r="L550" s="643">
        <f>IFERROR(IF(B550="funkcna poziadavka",VLOOKUP(G550,MODULY_CBA!$B$3:$E$23,4,0)*H550/SUMIFS($H$3:$H$199,$G$3:$G$199,G550,$B$3:$B$199,B550),),)</f>
        <v>0</v>
      </c>
      <c r="M550" s="379">
        <f>IFERROR(IF(B550="Funkcna poziadavka",VLOOKUP(G550,MODULY_CBA!$B$3:$E$23,3,0),),)</f>
        <v>0.93499999999999994</v>
      </c>
      <c r="N550" s="379">
        <f>IFERROR(IF(B550="funkcna poziadavka",VLOOKUP(G550,MODULY_CBA!$B$3:$E$23,2,0),),)</f>
        <v>1.18</v>
      </c>
      <c r="O550" s="378">
        <f t="shared" si="42"/>
        <v>5.5164999999999997</v>
      </c>
      <c r="P550" s="377">
        <f>IFERROR(O550*VLOOKUP(G550,MODULY_CBA!$B$3:$F$23,5,0),)</f>
        <v>165.495</v>
      </c>
      <c r="Q550" s="478" t="str">
        <f>IFERROR(VLOOKUP(G550,MODULY_CBA!$B$3:$I$23,6,0),"")</f>
        <v>Inkrement 5</v>
      </c>
    </row>
    <row r="551" spans="1:17">
      <c r="A551" s="401">
        <v>549</v>
      </c>
      <c r="B551" s="401" t="s">
        <v>475</v>
      </c>
      <c r="C551" s="530" t="s">
        <v>1028</v>
      </c>
      <c r="D551" s="530" t="s">
        <v>1031</v>
      </c>
      <c r="E551" s="530"/>
      <c r="F551" s="389" t="s">
        <v>8</v>
      </c>
      <c r="G551" s="389" t="s">
        <v>265</v>
      </c>
      <c r="H551" s="379">
        <v>1</v>
      </c>
      <c r="I551" s="379">
        <v>5</v>
      </c>
      <c r="J551" s="379">
        <f t="shared" si="40"/>
        <v>1</v>
      </c>
      <c r="K551" s="379">
        <f t="shared" si="41"/>
        <v>5</v>
      </c>
      <c r="L551" s="643">
        <f>IFERROR(IF(B551="funkcna poziadavka",VLOOKUP(G551,MODULY_CBA!$B$3:$E$23,4,0)*H551/SUMIFS($H$3:$H$199,$G$3:$G$199,G551,$B$3:$B$199,B551),),)</f>
        <v>0</v>
      </c>
      <c r="M551" s="379">
        <f>IFERROR(IF(B551="Funkcna poziadavka",VLOOKUP(G551,MODULY_CBA!$B$3:$E$23,3,0),),)</f>
        <v>0.93499999999999994</v>
      </c>
      <c r="N551" s="379">
        <f>IFERROR(IF(B551="funkcna poziadavka",VLOOKUP(G551,MODULY_CBA!$B$3:$E$23,2,0),),)</f>
        <v>1.18</v>
      </c>
      <c r="O551" s="378">
        <f t="shared" si="42"/>
        <v>5.5164999999999997</v>
      </c>
      <c r="P551" s="377">
        <f>IFERROR(O551*VLOOKUP(G551,MODULY_CBA!$B$3:$F$23,5,0),)</f>
        <v>165.495</v>
      </c>
      <c r="Q551" s="478" t="str">
        <f>IFERROR(VLOOKUP(G551,MODULY_CBA!$B$3:$I$23,6,0),"")</f>
        <v>Inkrement 5</v>
      </c>
    </row>
    <row r="552" spans="1:17">
      <c r="A552" s="401">
        <v>550</v>
      </c>
      <c r="B552" s="401" t="s">
        <v>475</v>
      </c>
      <c r="C552" s="530" t="s">
        <v>1028</v>
      </c>
      <c r="D552" s="530" t="s">
        <v>1032</v>
      </c>
      <c r="E552" s="389"/>
      <c r="F552" s="389" t="s">
        <v>8</v>
      </c>
      <c r="G552" s="389" t="s">
        <v>265</v>
      </c>
      <c r="H552" s="379">
        <v>1</v>
      </c>
      <c r="I552" s="379">
        <v>5</v>
      </c>
      <c r="J552" s="379">
        <f t="shared" si="40"/>
        <v>1</v>
      </c>
      <c r="K552" s="379">
        <f t="shared" si="41"/>
        <v>5</v>
      </c>
      <c r="L552" s="643">
        <f>IFERROR(IF(B552="funkcna poziadavka",VLOOKUP(G552,MODULY_CBA!$B$3:$E$23,4,0)*H552/SUMIFS($H$3:$H$199,$G$3:$G$199,G552,$B$3:$B$199,B552),),)</f>
        <v>0</v>
      </c>
      <c r="M552" s="379">
        <f>IFERROR(IF(B552="Funkcna poziadavka",VLOOKUP(G552,MODULY_CBA!$B$3:$E$23,3,0),),)</f>
        <v>0.93499999999999994</v>
      </c>
      <c r="N552" s="379">
        <f>IFERROR(IF(B552="funkcna poziadavka",VLOOKUP(G552,MODULY_CBA!$B$3:$E$23,2,0),),)</f>
        <v>1.18</v>
      </c>
      <c r="O552" s="378">
        <f t="shared" si="42"/>
        <v>5.5164999999999997</v>
      </c>
      <c r="P552" s="377">
        <f>IFERROR(O552*VLOOKUP(G552,MODULY_CBA!$B$3:$F$23,5,0),)</f>
        <v>165.495</v>
      </c>
      <c r="Q552" s="478" t="str">
        <f>IFERROR(VLOOKUP(G552,MODULY_CBA!$B$3:$I$23,6,0),"")</f>
        <v>Inkrement 5</v>
      </c>
    </row>
    <row r="553" spans="1:17" ht="25.5">
      <c r="A553" s="401">
        <v>551</v>
      </c>
      <c r="B553" s="401" t="s">
        <v>475</v>
      </c>
      <c r="C553" s="530" t="s">
        <v>1033</v>
      </c>
      <c r="D553" s="530" t="s">
        <v>1034</v>
      </c>
      <c r="E553" s="389"/>
      <c r="F553" s="389" t="s">
        <v>8</v>
      </c>
      <c r="G553" s="389" t="s">
        <v>265</v>
      </c>
      <c r="H553" s="379">
        <v>1</v>
      </c>
      <c r="I553" s="379">
        <v>5</v>
      </c>
      <c r="J553" s="379">
        <f t="shared" si="40"/>
        <v>1</v>
      </c>
      <c r="K553" s="379">
        <f t="shared" si="41"/>
        <v>5</v>
      </c>
      <c r="L553" s="643">
        <f>IFERROR(IF(B553="funkcna poziadavka",VLOOKUP(G553,MODULY_CBA!$B$3:$E$23,4,0)*H553/SUMIFS($H$3:$H$199,$G$3:$G$199,G553,$B$3:$B$199,B553),),)</f>
        <v>0</v>
      </c>
      <c r="M553" s="379">
        <f>IFERROR(IF(B553="Funkcna poziadavka",VLOOKUP(G553,MODULY_CBA!$B$3:$E$23,3,0),),)</f>
        <v>0.93499999999999994</v>
      </c>
      <c r="N553" s="379">
        <f>IFERROR(IF(B553="funkcna poziadavka",VLOOKUP(G553,MODULY_CBA!$B$3:$E$23,2,0),),)</f>
        <v>1.18</v>
      </c>
      <c r="O553" s="378">
        <f t="shared" si="42"/>
        <v>5.5164999999999997</v>
      </c>
      <c r="P553" s="377">
        <f>IFERROR(O553*VLOOKUP(G553,MODULY_CBA!$B$3:$F$23,5,0),)</f>
        <v>165.495</v>
      </c>
      <c r="Q553" s="478" t="str">
        <f>IFERROR(VLOOKUP(G553,MODULY_CBA!$B$3:$I$23,6,0),"")</f>
        <v>Inkrement 5</v>
      </c>
    </row>
    <row r="554" spans="1:17" ht="25.5">
      <c r="A554" s="401">
        <v>552</v>
      </c>
      <c r="B554" s="401" t="s">
        <v>475</v>
      </c>
      <c r="C554" s="530" t="s">
        <v>1033</v>
      </c>
      <c r="D554" s="530" t="s">
        <v>1029</v>
      </c>
      <c r="E554" s="389"/>
      <c r="F554" s="389" t="s">
        <v>8</v>
      </c>
      <c r="G554" s="389" t="s">
        <v>265</v>
      </c>
      <c r="H554" s="379">
        <v>1</v>
      </c>
      <c r="I554" s="379">
        <v>5</v>
      </c>
      <c r="J554" s="379">
        <f t="shared" si="40"/>
        <v>1</v>
      </c>
      <c r="K554" s="379">
        <f t="shared" si="41"/>
        <v>5</v>
      </c>
      <c r="L554" s="643">
        <f>IFERROR(IF(B554="funkcna poziadavka",VLOOKUP(G554,MODULY_CBA!$B$3:$E$23,4,0)*H554/SUMIFS($H$3:$H$199,$G$3:$G$199,G554,$B$3:$B$199,B554),),)</f>
        <v>0</v>
      </c>
      <c r="M554" s="379">
        <f>IFERROR(IF(B554="Funkcna poziadavka",VLOOKUP(G554,MODULY_CBA!$B$3:$E$23,3,0),),)</f>
        <v>0.93499999999999994</v>
      </c>
      <c r="N554" s="379">
        <f>IFERROR(IF(B554="funkcna poziadavka",VLOOKUP(G554,MODULY_CBA!$B$3:$E$23,2,0),),)</f>
        <v>1.18</v>
      </c>
      <c r="O554" s="378">
        <f t="shared" si="42"/>
        <v>5.5164999999999997</v>
      </c>
      <c r="P554" s="377">
        <f>IFERROR(O554*VLOOKUP(G554,MODULY_CBA!$B$3:$F$23,5,0),)</f>
        <v>165.495</v>
      </c>
      <c r="Q554" s="478" t="str">
        <f>IFERROR(VLOOKUP(G554,MODULY_CBA!$B$3:$I$23,6,0),"")</f>
        <v>Inkrement 5</v>
      </c>
    </row>
    <row r="555" spans="1:17" ht="25.5">
      <c r="A555" s="401">
        <v>553</v>
      </c>
      <c r="B555" s="401" t="s">
        <v>475</v>
      </c>
      <c r="C555" s="530" t="s">
        <v>1033</v>
      </c>
      <c r="D555" s="530" t="s">
        <v>1035</v>
      </c>
      <c r="E555" s="389"/>
      <c r="F555" s="389" t="s">
        <v>8</v>
      </c>
      <c r="G555" s="389" t="s">
        <v>265</v>
      </c>
      <c r="H555" s="379">
        <v>1</v>
      </c>
      <c r="I555" s="379">
        <v>5</v>
      </c>
      <c r="J555" s="379">
        <f t="shared" si="40"/>
        <v>1</v>
      </c>
      <c r="K555" s="379">
        <f t="shared" si="41"/>
        <v>5</v>
      </c>
      <c r="L555" s="643">
        <f>IFERROR(IF(B555="funkcna poziadavka",VLOOKUP(G555,MODULY_CBA!$B$3:$E$23,4,0)*H555/SUMIFS($H$3:$H$199,$G$3:$G$199,G555,$B$3:$B$199,B555),),)</f>
        <v>0</v>
      </c>
      <c r="M555" s="379">
        <f>IFERROR(IF(B555="Funkcna poziadavka",VLOOKUP(G555,MODULY_CBA!$B$3:$E$23,3,0),),)</f>
        <v>0.93499999999999994</v>
      </c>
      <c r="N555" s="379">
        <f>IFERROR(IF(B555="funkcna poziadavka",VLOOKUP(G555,MODULY_CBA!$B$3:$E$23,2,0),),)</f>
        <v>1.18</v>
      </c>
      <c r="O555" s="378">
        <f t="shared" si="42"/>
        <v>5.5164999999999997</v>
      </c>
      <c r="P555" s="377">
        <f>IFERROR(O555*VLOOKUP(G555,MODULY_CBA!$B$3:$F$23,5,0),)</f>
        <v>165.495</v>
      </c>
      <c r="Q555" s="478" t="str">
        <f>IFERROR(VLOOKUP(G555,MODULY_CBA!$B$3:$I$23,6,0),"")</f>
        <v>Inkrement 5</v>
      </c>
    </row>
    <row r="556" spans="1:17" ht="25.5">
      <c r="A556" s="401">
        <v>554</v>
      </c>
      <c r="B556" s="401" t="s">
        <v>475</v>
      </c>
      <c r="C556" s="530" t="s">
        <v>1033</v>
      </c>
      <c r="D556" s="530" t="s">
        <v>1036</v>
      </c>
      <c r="E556" s="389"/>
      <c r="F556" s="389" t="s">
        <v>8</v>
      </c>
      <c r="G556" s="389" t="s">
        <v>265</v>
      </c>
      <c r="H556" s="379">
        <v>1</v>
      </c>
      <c r="I556" s="379">
        <v>5</v>
      </c>
      <c r="J556" s="379">
        <f t="shared" si="40"/>
        <v>1</v>
      </c>
      <c r="K556" s="379">
        <f t="shared" si="41"/>
        <v>5</v>
      </c>
      <c r="L556" s="643">
        <f>IFERROR(IF(B556="funkcna poziadavka",VLOOKUP(G556,MODULY_CBA!$B$3:$E$23,4,0)*H556/SUMIFS($H$3:$H$199,$G$3:$G$199,G556,$B$3:$B$199,B556),),)</f>
        <v>0</v>
      </c>
      <c r="M556" s="379">
        <f>IFERROR(IF(B556="Funkcna poziadavka",VLOOKUP(G556,MODULY_CBA!$B$3:$E$23,3,0),),)</f>
        <v>0.93499999999999994</v>
      </c>
      <c r="N556" s="379">
        <f>IFERROR(IF(B556="funkcna poziadavka",VLOOKUP(G556,MODULY_CBA!$B$3:$E$23,2,0),),)</f>
        <v>1.18</v>
      </c>
      <c r="O556" s="378">
        <f t="shared" si="42"/>
        <v>5.5164999999999997</v>
      </c>
      <c r="P556" s="377">
        <f>IFERROR(O556*VLOOKUP(G556,MODULY_CBA!$B$3:$F$23,5,0),)</f>
        <v>165.495</v>
      </c>
      <c r="Q556" s="478" t="str">
        <f>IFERROR(VLOOKUP(G556,MODULY_CBA!$B$3:$I$23,6,0),"")</f>
        <v>Inkrement 5</v>
      </c>
    </row>
    <row r="557" spans="1:17" ht="25.5">
      <c r="A557" s="401">
        <v>555</v>
      </c>
      <c r="B557" s="401" t="s">
        <v>475</v>
      </c>
      <c r="C557" s="530" t="s">
        <v>1037</v>
      </c>
      <c r="D557" s="530" t="s">
        <v>1038</v>
      </c>
      <c r="E557" s="389"/>
      <c r="F557" s="389" t="s">
        <v>8</v>
      </c>
      <c r="G557" s="389" t="s">
        <v>265</v>
      </c>
      <c r="H557" s="379">
        <v>1</v>
      </c>
      <c r="I557" s="379">
        <v>5</v>
      </c>
      <c r="J557" s="379">
        <f t="shared" si="40"/>
        <v>1</v>
      </c>
      <c r="K557" s="379">
        <f t="shared" si="41"/>
        <v>5</v>
      </c>
      <c r="L557" s="643">
        <f>IFERROR(IF(B557="funkcna poziadavka",VLOOKUP(G557,MODULY_CBA!$B$3:$E$23,4,0)*H557/SUMIFS($H$3:$H$199,$G$3:$G$199,G557,$B$3:$B$199,B557),),)</f>
        <v>0</v>
      </c>
      <c r="M557" s="379">
        <f>IFERROR(IF(B557="Funkcna poziadavka",VLOOKUP(G557,MODULY_CBA!$B$3:$E$23,3,0),),)</f>
        <v>0.93499999999999994</v>
      </c>
      <c r="N557" s="379">
        <f>IFERROR(IF(B557="funkcna poziadavka",VLOOKUP(G557,MODULY_CBA!$B$3:$E$23,2,0),),)</f>
        <v>1.18</v>
      </c>
      <c r="O557" s="378">
        <f t="shared" si="42"/>
        <v>5.5164999999999997</v>
      </c>
      <c r="P557" s="377">
        <f>IFERROR(O557*VLOOKUP(G557,MODULY_CBA!$B$3:$F$23,5,0),)</f>
        <v>165.495</v>
      </c>
      <c r="Q557" s="478" t="str">
        <f>IFERROR(VLOOKUP(G557,MODULY_CBA!$B$3:$I$23,6,0),"")</f>
        <v>Inkrement 5</v>
      </c>
    </row>
    <row r="558" spans="1:17" ht="25.5">
      <c r="A558" s="401">
        <v>556</v>
      </c>
      <c r="B558" s="401" t="s">
        <v>475</v>
      </c>
      <c r="C558" s="530" t="s">
        <v>1037</v>
      </c>
      <c r="D558" s="530" t="s">
        <v>1039</v>
      </c>
      <c r="E558" s="530"/>
      <c r="F558" s="389" t="s">
        <v>8</v>
      </c>
      <c r="G558" s="389" t="s">
        <v>265</v>
      </c>
      <c r="H558" s="379">
        <v>1</v>
      </c>
      <c r="I558" s="379">
        <v>5</v>
      </c>
      <c r="J558" s="379">
        <f t="shared" si="40"/>
        <v>1</v>
      </c>
      <c r="K558" s="379">
        <f t="shared" si="41"/>
        <v>5</v>
      </c>
      <c r="L558" s="643">
        <f>IFERROR(IF(B558="funkcna poziadavka",VLOOKUP(G558,MODULY_CBA!$B$3:$E$23,4,0)*H558/SUMIFS($H$3:$H$199,$G$3:$G$199,G558,$B$3:$B$199,B558),),)</f>
        <v>0</v>
      </c>
      <c r="M558" s="379">
        <f>IFERROR(IF(B558="Funkcna poziadavka",VLOOKUP(G558,MODULY_CBA!$B$3:$E$23,3,0),),)</f>
        <v>0.93499999999999994</v>
      </c>
      <c r="N558" s="379">
        <f>IFERROR(IF(B558="funkcna poziadavka",VLOOKUP(G558,MODULY_CBA!$B$3:$E$23,2,0),),)</f>
        <v>1.18</v>
      </c>
      <c r="O558" s="378">
        <f t="shared" si="42"/>
        <v>5.5164999999999997</v>
      </c>
      <c r="P558" s="377">
        <f>IFERROR(O558*VLOOKUP(G558,MODULY_CBA!$B$3:$F$23,5,0),)</f>
        <v>165.495</v>
      </c>
      <c r="Q558" s="478" t="str">
        <f>IFERROR(VLOOKUP(G558,MODULY_CBA!$B$3:$I$23,6,0),"")</f>
        <v>Inkrement 5</v>
      </c>
    </row>
    <row r="559" spans="1:17" ht="25.5">
      <c r="A559" s="401">
        <v>557</v>
      </c>
      <c r="B559" s="401" t="s">
        <v>475</v>
      </c>
      <c r="C559" s="530" t="s">
        <v>1037</v>
      </c>
      <c r="D559" s="530" t="s">
        <v>1040</v>
      </c>
      <c r="E559" s="530"/>
      <c r="F559" s="389" t="s">
        <v>8</v>
      </c>
      <c r="G559" s="389" t="s">
        <v>265</v>
      </c>
      <c r="H559" s="379">
        <v>1</v>
      </c>
      <c r="I559" s="379">
        <v>5</v>
      </c>
      <c r="J559" s="379">
        <f t="shared" si="40"/>
        <v>1</v>
      </c>
      <c r="K559" s="379">
        <f t="shared" si="41"/>
        <v>5</v>
      </c>
      <c r="L559" s="643">
        <f>IFERROR(IF(B559="funkcna poziadavka",VLOOKUP(G559,MODULY_CBA!$B$3:$E$23,4,0)*H559/SUMIFS($H$3:$H$199,$G$3:$G$199,G559,$B$3:$B$199,B559),),)</f>
        <v>0</v>
      </c>
      <c r="M559" s="379">
        <f>IFERROR(IF(B559="Funkcna poziadavka",VLOOKUP(G559,MODULY_CBA!$B$3:$E$23,3,0),),)</f>
        <v>0.93499999999999994</v>
      </c>
      <c r="N559" s="379">
        <f>IFERROR(IF(B559="funkcna poziadavka",VLOOKUP(G559,MODULY_CBA!$B$3:$E$23,2,0),),)</f>
        <v>1.18</v>
      </c>
      <c r="O559" s="378">
        <f t="shared" si="42"/>
        <v>5.5164999999999997</v>
      </c>
      <c r="P559" s="377">
        <f>IFERROR(O559*VLOOKUP(G559,MODULY_CBA!$B$3:$F$23,5,0),)</f>
        <v>165.495</v>
      </c>
      <c r="Q559" s="478" t="str">
        <f>IFERROR(VLOOKUP(G559,MODULY_CBA!$B$3:$I$23,6,0),"")</f>
        <v>Inkrement 5</v>
      </c>
    </row>
    <row r="560" spans="1:17" ht="25.5">
      <c r="A560" s="401">
        <v>558</v>
      </c>
      <c r="B560" s="401" t="s">
        <v>475</v>
      </c>
      <c r="C560" s="530" t="s">
        <v>1041</v>
      </c>
      <c r="D560" s="530" t="s">
        <v>1042</v>
      </c>
      <c r="E560" s="530"/>
      <c r="F560" s="389" t="s">
        <v>8</v>
      </c>
      <c r="G560" s="389" t="s">
        <v>265</v>
      </c>
      <c r="H560" s="379">
        <v>1</v>
      </c>
      <c r="I560" s="379">
        <v>5</v>
      </c>
      <c r="J560" s="379">
        <f t="shared" si="40"/>
        <v>1</v>
      </c>
      <c r="K560" s="379">
        <f t="shared" si="41"/>
        <v>5</v>
      </c>
      <c r="L560" s="643">
        <f>IFERROR(IF(B560="funkcna poziadavka",VLOOKUP(G560,MODULY_CBA!$B$3:$E$23,4,0)*H560/SUMIFS($H$3:$H$199,$G$3:$G$199,G560,$B$3:$B$199,B560),),)</f>
        <v>0</v>
      </c>
      <c r="M560" s="379">
        <f>IFERROR(IF(B560="Funkcna poziadavka",VLOOKUP(G560,MODULY_CBA!$B$3:$E$23,3,0),),)</f>
        <v>0.93499999999999994</v>
      </c>
      <c r="N560" s="379">
        <f>IFERROR(IF(B560="funkcna poziadavka",VLOOKUP(G560,MODULY_CBA!$B$3:$E$23,2,0),),)</f>
        <v>1.18</v>
      </c>
      <c r="O560" s="378">
        <f t="shared" si="42"/>
        <v>5.5164999999999997</v>
      </c>
      <c r="P560" s="377">
        <f>IFERROR(O560*VLOOKUP(G560,MODULY_CBA!$B$3:$F$23,5,0),)</f>
        <v>165.495</v>
      </c>
      <c r="Q560" s="478" t="str">
        <f>IFERROR(VLOOKUP(G560,MODULY_CBA!$B$3:$I$23,6,0),"")</f>
        <v>Inkrement 5</v>
      </c>
    </row>
    <row r="561" spans="1:17" ht="25.5">
      <c r="A561" s="401">
        <v>559</v>
      </c>
      <c r="B561" s="401" t="s">
        <v>475</v>
      </c>
      <c r="C561" s="530" t="s">
        <v>1041</v>
      </c>
      <c r="D561" s="530" t="s">
        <v>1043</v>
      </c>
      <c r="E561" s="530"/>
      <c r="F561" s="389" t="s">
        <v>8</v>
      </c>
      <c r="G561" s="389" t="s">
        <v>265</v>
      </c>
      <c r="H561" s="379">
        <v>1</v>
      </c>
      <c r="I561" s="379">
        <v>5</v>
      </c>
      <c r="J561" s="379">
        <f t="shared" si="40"/>
        <v>1</v>
      </c>
      <c r="K561" s="379">
        <f t="shared" si="41"/>
        <v>5</v>
      </c>
      <c r="L561" s="643">
        <f>IFERROR(IF(B561="funkcna poziadavka",VLOOKUP(G561,MODULY_CBA!$B$3:$E$23,4,0)*H561/SUMIFS($H$3:$H$199,$G$3:$G$199,G561,$B$3:$B$199,B561),),)</f>
        <v>0</v>
      </c>
      <c r="M561" s="379">
        <f>IFERROR(IF(B561="Funkcna poziadavka",VLOOKUP(G561,MODULY_CBA!$B$3:$E$23,3,0),),)</f>
        <v>0.93499999999999994</v>
      </c>
      <c r="N561" s="379">
        <f>IFERROR(IF(B561="funkcna poziadavka",VLOOKUP(G561,MODULY_CBA!$B$3:$E$23,2,0),),)</f>
        <v>1.18</v>
      </c>
      <c r="O561" s="378">
        <f t="shared" si="42"/>
        <v>5.5164999999999997</v>
      </c>
      <c r="P561" s="377">
        <f>IFERROR(O561*VLOOKUP(G561,MODULY_CBA!$B$3:$F$23,5,0),)</f>
        <v>165.495</v>
      </c>
      <c r="Q561" s="478" t="str">
        <f>IFERROR(VLOOKUP(G561,MODULY_CBA!$B$3:$I$23,6,0),"")</f>
        <v>Inkrement 5</v>
      </c>
    </row>
    <row r="562" spans="1:17" ht="25.5">
      <c r="A562" s="401">
        <v>560</v>
      </c>
      <c r="B562" s="401" t="s">
        <v>475</v>
      </c>
      <c r="C562" s="530" t="s">
        <v>1041</v>
      </c>
      <c r="D562" s="530" t="s">
        <v>1044</v>
      </c>
      <c r="E562" s="530"/>
      <c r="F562" s="389" t="s">
        <v>8</v>
      </c>
      <c r="G562" s="389" t="s">
        <v>265</v>
      </c>
      <c r="H562" s="379">
        <v>1</v>
      </c>
      <c r="I562" s="379">
        <v>5</v>
      </c>
      <c r="J562" s="379">
        <f t="shared" si="40"/>
        <v>1</v>
      </c>
      <c r="K562" s="379">
        <f t="shared" si="41"/>
        <v>5</v>
      </c>
      <c r="L562" s="643">
        <f>IFERROR(IF(B562="funkcna poziadavka",VLOOKUP(G562,MODULY_CBA!$B$3:$E$23,4,0)*H562/SUMIFS($H$3:$H$199,$G$3:$G$199,G562,$B$3:$B$199,B562),),)</f>
        <v>0</v>
      </c>
      <c r="M562" s="379">
        <f>IFERROR(IF(B562="Funkcna poziadavka",VLOOKUP(G562,MODULY_CBA!$B$3:$E$23,3,0),),)</f>
        <v>0.93499999999999994</v>
      </c>
      <c r="N562" s="379">
        <f>IFERROR(IF(B562="funkcna poziadavka",VLOOKUP(G562,MODULY_CBA!$B$3:$E$23,2,0),),)</f>
        <v>1.18</v>
      </c>
      <c r="O562" s="378">
        <f t="shared" si="42"/>
        <v>5.5164999999999997</v>
      </c>
      <c r="P562" s="377">
        <f>IFERROR(O562*VLOOKUP(G562,MODULY_CBA!$B$3:$F$23,5,0),)</f>
        <v>165.495</v>
      </c>
      <c r="Q562" s="478" t="str">
        <f>IFERROR(VLOOKUP(G562,MODULY_CBA!$B$3:$I$23,6,0),"")</f>
        <v>Inkrement 5</v>
      </c>
    </row>
    <row r="563" spans="1:17">
      <c r="A563" s="401">
        <v>561</v>
      </c>
      <c r="B563" s="401" t="s">
        <v>475</v>
      </c>
      <c r="C563" s="530" t="s">
        <v>1045</v>
      </c>
      <c r="D563" s="530" t="s">
        <v>1046</v>
      </c>
      <c r="E563" s="530"/>
      <c r="F563" s="389" t="s">
        <v>8</v>
      </c>
      <c r="G563" s="389" t="s">
        <v>265</v>
      </c>
      <c r="H563" s="379">
        <v>1</v>
      </c>
      <c r="I563" s="379">
        <v>10</v>
      </c>
      <c r="J563" s="379">
        <f t="shared" si="40"/>
        <v>1</v>
      </c>
      <c r="K563" s="379">
        <f t="shared" si="41"/>
        <v>10</v>
      </c>
      <c r="L563" s="643">
        <f>IFERROR(IF(B563="funkcna poziadavka",VLOOKUP(G563,MODULY_CBA!$B$3:$E$23,4,0)*H563/SUMIFS($H$3:$H$199,$G$3:$G$199,G563,$B$3:$B$199,B563),),)</f>
        <v>0</v>
      </c>
      <c r="M563" s="379">
        <f>IFERROR(IF(B563="Funkcna poziadavka",VLOOKUP(G563,MODULY_CBA!$B$3:$E$23,3,0),),)</f>
        <v>0.93499999999999994</v>
      </c>
      <c r="N563" s="379">
        <f>IFERROR(IF(B563="funkcna poziadavka",VLOOKUP(G563,MODULY_CBA!$B$3:$E$23,2,0),),)</f>
        <v>1.18</v>
      </c>
      <c r="O563" s="378">
        <f t="shared" si="42"/>
        <v>11.032999999999999</v>
      </c>
      <c r="P563" s="377">
        <f>IFERROR(O563*VLOOKUP(G563,MODULY_CBA!$B$3:$F$23,5,0),)</f>
        <v>330.99</v>
      </c>
      <c r="Q563" s="478" t="str">
        <f>IFERROR(VLOOKUP(G563,MODULY_CBA!$B$3:$I$23,6,0),"")</f>
        <v>Inkrement 5</v>
      </c>
    </row>
    <row r="564" spans="1:17">
      <c r="A564" s="401">
        <v>562</v>
      </c>
      <c r="B564" s="401" t="s">
        <v>475</v>
      </c>
      <c r="C564" s="530" t="s">
        <v>1045</v>
      </c>
      <c r="D564" s="530" t="s">
        <v>1047</v>
      </c>
      <c r="E564" s="530"/>
      <c r="F564" s="389" t="s">
        <v>8</v>
      </c>
      <c r="G564" s="389" t="s">
        <v>265</v>
      </c>
      <c r="H564" s="379">
        <v>1</v>
      </c>
      <c r="I564" s="379">
        <v>10</v>
      </c>
      <c r="J564" s="379">
        <f t="shared" si="40"/>
        <v>1</v>
      </c>
      <c r="K564" s="379">
        <f t="shared" si="41"/>
        <v>10</v>
      </c>
      <c r="L564" s="643">
        <f>IFERROR(IF(B564="funkcna poziadavka",VLOOKUP(G564,MODULY_CBA!$B$3:$E$23,4,0)*H564/SUMIFS($H$3:$H$199,$G$3:$G$199,G564,$B$3:$B$199,B564),),)</f>
        <v>0</v>
      </c>
      <c r="M564" s="379">
        <f>IFERROR(IF(B564="Funkcna poziadavka",VLOOKUP(G564,MODULY_CBA!$B$3:$E$23,3,0),),)</f>
        <v>0.93499999999999994</v>
      </c>
      <c r="N564" s="379">
        <f>IFERROR(IF(B564="funkcna poziadavka",VLOOKUP(G564,MODULY_CBA!$B$3:$E$23,2,0),),)</f>
        <v>1.18</v>
      </c>
      <c r="O564" s="378">
        <f t="shared" si="42"/>
        <v>11.032999999999999</v>
      </c>
      <c r="P564" s="377">
        <f>IFERROR(O564*VLOOKUP(G564,MODULY_CBA!$B$3:$F$23,5,0),)</f>
        <v>330.99</v>
      </c>
      <c r="Q564" s="478" t="str">
        <f>IFERROR(VLOOKUP(G564,MODULY_CBA!$B$3:$I$23,6,0),"")</f>
        <v>Inkrement 5</v>
      </c>
    </row>
    <row r="565" spans="1:17">
      <c r="A565" s="401">
        <v>563</v>
      </c>
      <c r="B565" s="401" t="s">
        <v>475</v>
      </c>
      <c r="C565" s="530" t="s">
        <v>1045</v>
      </c>
      <c r="D565" s="530" t="s">
        <v>1048</v>
      </c>
      <c r="E565" s="530"/>
      <c r="F565" s="389" t="s">
        <v>8</v>
      </c>
      <c r="G565" s="389" t="s">
        <v>265</v>
      </c>
      <c r="H565" s="379">
        <v>1</v>
      </c>
      <c r="I565" s="379">
        <v>10</v>
      </c>
      <c r="J565" s="379">
        <f t="shared" si="40"/>
        <v>1</v>
      </c>
      <c r="K565" s="379">
        <f t="shared" si="41"/>
        <v>10</v>
      </c>
      <c r="L565" s="643">
        <f>IFERROR(IF(B565="funkcna poziadavka",VLOOKUP(G565,MODULY_CBA!$B$3:$E$23,4,0)*H565/SUMIFS($H$3:$H$199,$G$3:$G$199,G565,$B$3:$B$199,B565),),)</f>
        <v>0</v>
      </c>
      <c r="M565" s="379">
        <f>IFERROR(IF(B565="Funkcna poziadavka",VLOOKUP(G565,MODULY_CBA!$B$3:$E$23,3,0),),)</f>
        <v>0.93499999999999994</v>
      </c>
      <c r="N565" s="379">
        <f>IFERROR(IF(B565="funkcna poziadavka",VLOOKUP(G565,MODULY_CBA!$B$3:$E$23,2,0),),)</f>
        <v>1.18</v>
      </c>
      <c r="O565" s="378">
        <f t="shared" si="42"/>
        <v>11.032999999999999</v>
      </c>
      <c r="P565" s="377">
        <f>IFERROR(O565*VLOOKUP(G565,MODULY_CBA!$B$3:$F$23,5,0),)</f>
        <v>330.99</v>
      </c>
      <c r="Q565" s="478" t="str">
        <f>IFERROR(VLOOKUP(G565,MODULY_CBA!$B$3:$I$23,6,0),"")</f>
        <v>Inkrement 5</v>
      </c>
    </row>
    <row r="566" spans="1:17">
      <c r="A566" s="401">
        <v>564</v>
      </c>
      <c r="B566" s="401" t="s">
        <v>475</v>
      </c>
      <c r="C566" s="530" t="s">
        <v>1045</v>
      </c>
      <c r="D566" s="530" t="s">
        <v>1049</v>
      </c>
      <c r="E566" s="530"/>
      <c r="F566" s="389" t="s">
        <v>8</v>
      </c>
      <c r="G566" s="389" t="s">
        <v>265</v>
      </c>
      <c r="H566" s="379">
        <v>1</v>
      </c>
      <c r="I566" s="379">
        <v>10</v>
      </c>
      <c r="J566" s="379">
        <f t="shared" si="40"/>
        <v>1</v>
      </c>
      <c r="K566" s="379">
        <f t="shared" si="41"/>
        <v>10</v>
      </c>
      <c r="L566" s="643">
        <f>IFERROR(IF(B566="funkcna poziadavka",VLOOKUP(G566,MODULY_CBA!$B$3:$E$23,4,0)*H566/SUMIFS($H$3:$H$199,$G$3:$G$199,G566,$B$3:$B$199,B566),),)</f>
        <v>0</v>
      </c>
      <c r="M566" s="379">
        <f>IFERROR(IF(B566="Funkcna poziadavka",VLOOKUP(G566,MODULY_CBA!$B$3:$E$23,3,0),),)</f>
        <v>0.93499999999999994</v>
      </c>
      <c r="N566" s="379">
        <f>IFERROR(IF(B566="funkcna poziadavka",VLOOKUP(G566,MODULY_CBA!$B$3:$E$23,2,0),),)</f>
        <v>1.18</v>
      </c>
      <c r="O566" s="378">
        <f t="shared" si="42"/>
        <v>11.032999999999999</v>
      </c>
      <c r="P566" s="377">
        <f>IFERROR(O566*VLOOKUP(G566,MODULY_CBA!$B$3:$F$23,5,0),)</f>
        <v>330.99</v>
      </c>
      <c r="Q566" s="478" t="str">
        <f>IFERROR(VLOOKUP(G566,MODULY_CBA!$B$3:$I$23,6,0),"")</f>
        <v>Inkrement 5</v>
      </c>
    </row>
    <row r="567" spans="1:17">
      <c r="A567" s="401">
        <v>565</v>
      </c>
      <c r="B567" s="401" t="s">
        <v>475</v>
      </c>
      <c r="C567" s="530" t="s">
        <v>1045</v>
      </c>
      <c r="D567" s="530" t="s">
        <v>1050</v>
      </c>
      <c r="E567" s="530"/>
      <c r="F567" s="389" t="s">
        <v>8</v>
      </c>
      <c r="G567" s="389" t="s">
        <v>265</v>
      </c>
      <c r="H567" s="379">
        <v>1</v>
      </c>
      <c r="I567" s="379">
        <v>10</v>
      </c>
      <c r="J567" s="379">
        <f t="shared" si="40"/>
        <v>1</v>
      </c>
      <c r="K567" s="379">
        <f t="shared" si="41"/>
        <v>10</v>
      </c>
      <c r="L567" s="643">
        <f>IFERROR(IF(B567="funkcna poziadavka",VLOOKUP(G567,MODULY_CBA!$B$3:$E$23,4,0)*H567/SUMIFS($H$3:$H$199,$G$3:$G$199,G567,$B$3:$B$199,B567),),)</f>
        <v>0</v>
      </c>
      <c r="M567" s="379">
        <f>IFERROR(IF(B567="Funkcna poziadavka",VLOOKUP(G567,MODULY_CBA!$B$3:$E$23,3,0),),)</f>
        <v>0.93499999999999994</v>
      </c>
      <c r="N567" s="379">
        <f>IFERROR(IF(B567="funkcna poziadavka",VLOOKUP(G567,MODULY_CBA!$B$3:$E$23,2,0),),)</f>
        <v>1.18</v>
      </c>
      <c r="O567" s="378">
        <f t="shared" si="42"/>
        <v>11.032999999999999</v>
      </c>
      <c r="P567" s="377">
        <f>IFERROR(O567*VLOOKUP(G567,MODULY_CBA!$B$3:$F$23,5,0),)</f>
        <v>330.99</v>
      </c>
      <c r="Q567" s="478" t="str">
        <f>IFERROR(VLOOKUP(G567,MODULY_CBA!$B$3:$I$23,6,0),"")</f>
        <v>Inkrement 5</v>
      </c>
    </row>
    <row r="568" spans="1:17">
      <c r="A568" s="401">
        <v>566</v>
      </c>
      <c r="B568" s="401" t="s">
        <v>475</v>
      </c>
      <c r="C568" s="530" t="s">
        <v>1045</v>
      </c>
      <c r="D568" s="530" t="s">
        <v>1051</v>
      </c>
      <c r="E568" s="530"/>
      <c r="F568" s="389" t="s">
        <v>8</v>
      </c>
      <c r="G568" s="389" t="s">
        <v>265</v>
      </c>
      <c r="H568" s="379">
        <v>1</v>
      </c>
      <c r="I568" s="379">
        <v>10</v>
      </c>
      <c r="J568" s="379">
        <f t="shared" si="40"/>
        <v>1</v>
      </c>
      <c r="K568" s="379">
        <f t="shared" si="41"/>
        <v>10</v>
      </c>
      <c r="L568" s="643">
        <f>IFERROR(IF(B568="funkcna poziadavka",VLOOKUP(G568,MODULY_CBA!$B$3:$E$23,4,0)*H568/SUMIFS($H$3:$H$199,$G$3:$G$199,G568,$B$3:$B$199,B568),),)</f>
        <v>0</v>
      </c>
      <c r="M568" s="379">
        <f>IFERROR(IF(B568="Funkcna poziadavka",VLOOKUP(G568,MODULY_CBA!$B$3:$E$23,3,0),),)</f>
        <v>0.93499999999999994</v>
      </c>
      <c r="N568" s="379">
        <f>IFERROR(IF(B568="funkcna poziadavka",VLOOKUP(G568,MODULY_CBA!$B$3:$E$23,2,0),),)</f>
        <v>1.18</v>
      </c>
      <c r="O568" s="378">
        <f t="shared" si="42"/>
        <v>11.032999999999999</v>
      </c>
      <c r="P568" s="377">
        <f>IFERROR(O568*VLOOKUP(G568,MODULY_CBA!$B$3:$F$23,5,0),)</f>
        <v>330.99</v>
      </c>
      <c r="Q568" s="478" t="str">
        <f>IFERROR(VLOOKUP(G568,MODULY_CBA!$B$3:$I$23,6,0),"")</f>
        <v>Inkrement 5</v>
      </c>
    </row>
    <row r="569" spans="1:17" ht="25.5">
      <c r="A569" s="401">
        <v>567</v>
      </c>
      <c r="B569" s="401" t="s">
        <v>475</v>
      </c>
      <c r="C569" s="530" t="s">
        <v>1045</v>
      </c>
      <c r="D569" s="530" t="s">
        <v>1052</v>
      </c>
      <c r="E569" s="530"/>
      <c r="F569" s="389" t="s">
        <v>8</v>
      </c>
      <c r="G569" s="389" t="s">
        <v>265</v>
      </c>
      <c r="H569" s="379">
        <v>1</v>
      </c>
      <c r="I569" s="379">
        <v>10</v>
      </c>
      <c r="J569" s="379">
        <f t="shared" si="40"/>
        <v>1</v>
      </c>
      <c r="K569" s="379">
        <f t="shared" si="41"/>
        <v>10</v>
      </c>
      <c r="L569" s="643">
        <f>IFERROR(IF(B569="funkcna poziadavka",VLOOKUP(G569,MODULY_CBA!$B$3:$E$23,4,0)*H569/SUMIFS($H$3:$H$199,$G$3:$G$199,G569,$B$3:$B$199,B569),),)</f>
        <v>0</v>
      </c>
      <c r="M569" s="379">
        <f>IFERROR(IF(B569="Funkcna poziadavka",VLOOKUP(G569,MODULY_CBA!$B$3:$E$23,3,0),),)</f>
        <v>0.93499999999999994</v>
      </c>
      <c r="N569" s="379">
        <f>IFERROR(IF(B569="funkcna poziadavka",VLOOKUP(G569,MODULY_CBA!$B$3:$E$23,2,0),),)</f>
        <v>1.18</v>
      </c>
      <c r="O569" s="378">
        <f t="shared" si="42"/>
        <v>11.032999999999999</v>
      </c>
      <c r="P569" s="377">
        <f>IFERROR(O569*VLOOKUP(G569,MODULY_CBA!$B$3:$F$23,5,0),)</f>
        <v>330.99</v>
      </c>
      <c r="Q569" s="478" t="str">
        <f>IFERROR(VLOOKUP(G569,MODULY_CBA!$B$3:$I$23,6,0),"")</f>
        <v>Inkrement 5</v>
      </c>
    </row>
    <row r="570" spans="1:17">
      <c r="A570" s="401">
        <v>568</v>
      </c>
      <c r="B570" s="401" t="s">
        <v>475</v>
      </c>
      <c r="C570" s="530" t="s">
        <v>1045</v>
      </c>
      <c r="D570" s="530" t="s">
        <v>1053</v>
      </c>
      <c r="E570" s="530"/>
      <c r="F570" s="389" t="s">
        <v>8</v>
      </c>
      <c r="G570" s="389" t="s">
        <v>265</v>
      </c>
      <c r="H570" s="379">
        <v>1</v>
      </c>
      <c r="I570" s="379">
        <v>10</v>
      </c>
      <c r="J570" s="379">
        <f t="shared" si="40"/>
        <v>1</v>
      </c>
      <c r="K570" s="379">
        <f t="shared" si="41"/>
        <v>10</v>
      </c>
      <c r="L570" s="643">
        <f>IFERROR(IF(B570="funkcna poziadavka",VLOOKUP(G570,MODULY_CBA!$B$3:$E$23,4,0)*H570/SUMIFS($H$3:$H$199,$G$3:$G$199,G570,$B$3:$B$199,B570),),)</f>
        <v>0</v>
      </c>
      <c r="M570" s="379">
        <f>IFERROR(IF(B570="Funkcna poziadavka",VLOOKUP(G570,MODULY_CBA!$B$3:$E$23,3,0),),)</f>
        <v>0.93499999999999994</v>
      </c>
      <c r="N570" s="379">
        <f>IFERROR(IF(B570="funkcna poziadavka",VLOOKUP(G570,MODULY_CBA!$B$3:$E$23,2,0),),)</f>
        <v>1.18</v>
      </c>
      <c r="O570" s="378">
        <f t="shared" si="42"/>
        <v>11.032999999999999</v>
      </c>
      <c r="P570" s="377">
        <f>IFERROR(O570*VLOOKUP(G570,MODULY_CBA!$B$3:$F$23,5,0),)</f>
        <v>330.99</v>
      </c>
      <c r="Q570" s="478" t="str">
        <f>IFERROR(VLOOKUP(G570,MODULY_CBA!$B$3:$I$23,6,0),"")</f>
        <v>Inkrement 5</v>
      </c>
    </row>
    <row r="571" spans="1:17">
      <c r="A571" s="401">
        <v>569</v>
      </c>
      <c r="B571" s="401" t="s">
        <v>475</v>
      </c>
      <c r="C571" s="530" t="s">
        <v>1045</v>
      </c>
      <c r="D571" s="530" t="s">
        <v>1054</v>
      </c>
      <c r="E571" s="530"/>
      <c r="F571" s="389" t="s">
        <v>8</v>
      </c>
      <c r="G571" s="389" t="s">
        <v>265</v>
      </c>
      <c r="H571" s="379">
        <v>1</v>
      </c>
      <c r="I571" s="379">
        <v>10</v>
      </c>
      <c r="J571" s="379">
        <f t="shared" si="40"/>
        <v>1</v>
      </c>
      <c r="K571" s="379">
        <f t="shared" si="41"/>
        <v>10</v>
      </c>
      <c r="L571" s="643">
        <f>IFERROR(IF(B571="funkcna poziadavka",VLOOKUP(G571,MODULY_CBA!$B$3:$E$23,4,0)*H571/SUMIFS($H$3:$H$199,$G$3:$G$199,G571,$B$3:$B$199,B571),),)</f>
        <v>0</v>
      </c>
      <c r="M571" s="379">
        <f>IFERROR(IF(B571="Funkcna poziadavka",VLOOKUP(G571,MODULY_CBA!$B$3:$E$23,3,0),),)</f>
        <v>0.93499999999999994</v>
      </c>
      <c r="N571" s="379">
        <f>IFERROR(IF(B571="funkcna poziadavka",VLOOKUP(G571,MODULY_CBA!$B$3:$E$23,2,0),),)</f>
        <v>1.18</v>
      </c>
      <c r="O571" s="378">
        <f t="shared" si="42"/>
        <v>11.032999999999999</v>
      </c>
      <c r="P571" s="377">
        <f>IFERROR(O571*VLOOKUP(G571,MODULY_CBA!$B$3:$F$23,5,0),)</f>
        <v>330.99</v>
      </c>
      <c r="Q571" s="478" t="str">
        <f>IFERROR(VLOOKUP(G571,MODULY_CBA!$B$3:$I$23,6,0),"")</f>
        <v>Inkrement 5</v>
      </c>
    </row>
    <row r="572" spans="1:17" ht="25.5">
      <c r="A572" s="401">
        <v>570</v>
      </c>
      <c r="B572" s="401" t="s">
        <v>475</v>
      </c>
      <c r="C572" s="530" t="s">
        <v>1045</v>
      </c>
      <c r="D572" s="530" t="s">
        <v>1055</v>
      </c>
      <c r="E572" s="530"/>
      <c r="F572" s="389" t="s">
        <v>8</v>
      </c>
      <c r="G572" s="389" t="s">
        <v>265</v>
      </c>
      <c r="H572" s="379">
        <v>1</v>
      </c>
      <c r="I572" s="379">
        <v>10</v>
      </c>
      <c r="J572" s="379">
        <f t="shared" si="40"/>
        <v>1</v>
      </c>
      <c r="K572" s="379">
        <f t="shared" si="41"/>
        <v>10</v>
      </c>
      <c r="L572" s="643">
        <f>IFERROR(IF(B572="funkcna poziadavka",VLOOKUP(G572,MODULY_CBA!$B$3:$E$23,4,0)*H572/SUMIFS($H$3:$H$199,$G$3:$G$199,G572,$B$3:$B$199,B572),),)</f>
        <v>0</v>
      </c>
      <c r="M572" s="379">
        <f>IFERROR(IF(B572="Funkcna poziadavka",VLOOKUP(G572,MODULY_CBA!$B$3:$E$23,3,0),),)</f>
        <v>0.93499999999999994</v>
      </c>
      <c r="N572" s="379">
        <f>IFERROR(IF(B572="funkcna poziadavka",VLOOKUP(G572,MODULY_CBA!$B$3:$E$23,2,0),),)</f>
        <v>1.18</v>
      </c>
      <c r="O572" s="378">
        <f t="shared" si="42"/>
        <v>11.032999999999999</v>
      </c>
      <c r="P572" s="377">
        <f>IFERROR(O572*VLOOKUP(G572,MODULY_CBA!$B$3:$F$23,5,0),)</f>
        <v>330.99</v>
      </c>
      <c r="Q572" s="478" t="str">
        <f>IFERROR(VLOOKUP(G572,MODULY_CBA!$B$3:$I$23,6,0),"")</f>
        <v>Inkrement 5</v>
      </c>
    </row>
    <row r="573" spans="1:17">
      <c r="A573" s="401">
        <v>571</v>
      </c>
      <c r="B573" s="401" t="s">
        <v>475</v>
      </c>
      <c r="C573" s="530" t="s">
        <v>1056</v>
      </c>
      <c r="D573" s="530" t="s">
        <v>1057</v>
      </c>
      <c r="E573" s="530"/>
      <c r="F573" s="389" t="s">
        <v>8</v>
      </c>
      <c r="G573" s="389" t="s">
        <v>265</v>
      </c>
      <c r="H573" s="379">
        <v>1</v>
      </c>
      <c r="I573" s="379">
        <v>10</v>
      </c>
      <c r="J573" s="379">
        <f t="shared" si="40"/>
        <v>1</v>
      </c>
      <c r="K573" s="379">
        <f t="shared" si="41"/>
        <v>10</v>
      </c>
      <c r="L573" s="643">
        <f>IFERROR(IF(B573="funkcna poziadavka",VLOOKUP(G573,MODULY_CBA!$B$3:$E$23,4,0)*H573/SUMIFS($H$3:$H$199,$G$3:$G$199,G573,$B$3:$B$199,B573),),)</f>
        <v>0</v>
      </c>
      <c r="M573" s="379">
        <f>IFERROR(IF(B573="Funkcna poziadavka",VLOOKUP(G573,MODULY_CBA!$B$3:$E$23,3,0),),)</f>
        <v>0.93499999999999994</v>
      </c>
      <c r="N573" s="379">
        <f>IFERROR(IF(B573="funkcna poziadavka",VLOOKUP(G573,MODULY_CBA!$B$3:$E$23,2,0),),)</f>
        <v>1.18</v>
      </c>
      <c r="O573" s="378">
        <f t="shared" si="42"/>
        <v>11.032999999999999</v>
      </c>
      <c r="P573" s="377">
        <f>IFERROR(O573*VLOOKUP(G573,MODULY_CBA!$B$3:$F$23,5,0),)</f>
        <v>330.99</v>
      </c>
      <c r="Q573" s="478" t="str">
        <f>IFERROR(VLOOKUP(G573,MODULY_CBA!$B$3:$I$23,6,0),"")</f>
        <v>Inkrement 5</v>
      </c>
    </row>
    <row r="574" spans="1:17">
      <c r="A574" s="401">
        <v>572</v>
      </c>
      <c r="B574" s="401" t="s">
        <v>475</v>
      </c>
      <c r="C574" s="530" t="s">
        <v>1056</v>
      </c>
      <c r="D574" s="530" t="s">
        <v>1058</v>
      </c>
      <c r="E574" s="530"/>
      <c r="F574" s="389" t="s">
        <v>8</v>
      </c>
      <c r="G574" s="389" t="s">
        <v>265</v>
      </c>
      <c r="H574" s="379">
        <v>1</v>
      </c>
      <c r="I574" s="379">
        <v>10</v>
      </c>
      <c r="J574" s="379">
        <f t="shared" si="40"/>
        <v>1</v>
      </c>
      <c r="K574" s="379">
        <f t="shared" si="41"/>
        <v>10</v>
      </c>
      <c r="L574" s="643">
        <f>IFERROR(IF(B574="funkcna poziadavka",VLOOKUP(G574,MODULY_CBA!$B$3:$E$23,4,0)*H574/SUMIFS($H$3:$H$199,$G$3:$G$199,G574,$B$3:$B$199,B574),),)</f>
        <v>0</v>
      </c>
      <c r="M574" s="379">
        <f>IFERROR(IF(B574="Funkcna poziadavka",VLOOKUP(G574,MODULY_CBA!$B$3:$E$23,3,0),),)</f>
        <v>0.93499999999999994</v>
      </c>
      <c r="N574" s="379">
        <f>IFERROR(IF(B574="funkcna poziadavka",VLOOKUP(G574,MODULY_CBA!$B$3:$E$23,2,0),),)</f>
        <v>1.18</v>
      </c>
      <c r="O574" s="378">
        <f t="shared" si="42"/>
        <v>11.032999999999999</v>
      </c>
      <c r="P574" s="377">
        <f>IFERROR(O574*VLOOKUP(G574,MODULY_CBA!$B$3:$F$23,5,0),)</f>
        <v>330.99</v>
      </c>
      <c r="Q574" s="478" t="str">
        <f>IFERROR(VLOOKUP(G574,MODULY_CBA!$B$3:$I$23,6,0),"")</f>
        <v>Inkrement 5</v>
      </c>
    </row>
    <row r="575" spans="1:17">
      <c r="A575" s="401">
        <v>573</v>
      </c>
      <c r="B575" s="401" t="s">
        <v>475</v>
      </c>
      <c r="C575" s="530" t="s">
        <v>1056</v>
      </c>
      <c r="D575" s="530" t="s">
        <v>1059</v>
      </c>
      <c r="E575" s="530"/>
      <c r="F575" s="389" t="s">
        <v>8</v>
      </c>
      <c r="G575" s="389" t="s">
        <v>265</v>
      </c>
      <c r="H575" s="379">
        <v>1</v>
      </c>
      <c r="I575" s="379">
        <v>10</v>
      </c>
      <c r="J575" s="379">
        <f t="shared" si="40"/>
        <v>1</v>
      </c>
      <c r="K575" s="379">
        <f t="shared" si="41"/>
        <v>10</v>
      </c>
      <c r="L575" s="643">
        <f>IFERROR(IF(B575="funkcna poziadavka",VLOOKUP(G575,MODULY_CBA!$B$3:$E$23,4,0)*H575/SUMIFS($H$3:$H$199,$G$3:$G$199,G575,$B$3:$B$199,B575),),)</f>
        <v>0</v>
      </c>
      <c r="M575" s="379">
        <f>IFERROR(IF(B575="Funkcna poziadavka",VLOOKUP(G575,MODULY_CBA!$B$3:$E$23,3,0),),)</f>
        <v>0.93499999999999994</v>
      </c>
      <c r="N575" s="379">
        <f>IFERROR(IF(B575="funkcna poziadavka",VLOOKUP(G575,MODULY_CBA!$B$3:$E$23,2,0),),)</f>
        <v>1.18</v>
      </c>
      <c r="O575" s="378">
        <f t="shared" si="42"/>
        <v>11.032999999999999</v>
      </c>
      <c r="P575" s="377">
        <f>IFERROR(O575*VLOOKUP(G575,MODULY_CBA!$B$3:$F$23,5,0),)</f>
        <v>330.99</v>
      </c>
      <c r="Q575" s="478" t="str">
        <f>IFERROR(VLOOKUP(G575,MODULY_CBA!$B$3:$I$23,6,0),"")</f>
        <v>Inkrement 5</v>
      </c>
    </row>
    <row r="576" spans="1:17" ht="25.5">
      <c r="A576" s="401">
        <v>574</v>
      </c>
      <c r="B576" s="401" t="s">
        <v>475</v>
      </c>
      <c r="C576" s="530" t="s">
        <v>1060</v>
      </c>
      <c r="D576" s="530" t="s">
        <v>1061</v>
      </c>
      <c r="E576" s="530"/>
      <c r="F576" s="389" t="s">
        <v>8</v>
      </c>
      <c r="G576" s="389" t="s">
        <v>265</v>
      </c>
      <c r="H576" s="379">
        <v>1</v>
      </c>
      <c r="I576" s="379">
        <v>10</v>
      </c>
      <c r="J576" s="379">
        <f t="shared" si="40"/>
        <v>1</v>
      </c>
      <c r="K576" s="379">
        <f t="shared" si="41"/>
        <v>10</v>
      </c>
      <c r="L576" s="643">
        <f>IFERROR(IF(B576="funkcna poziadavka",VLOOKUP(G576,MODULY_CBA!$B$3:$E$23,4,0)*H576/SUMIFS($H$3:$H$199,$G$3:$G$199,G576,$B$3:$B$199,B576),),)</f>
        <v>0</v>
      </c>
      <c r="M576" s="379">
        <f>IFERROR(IF(B576="Funkcna poziadavka",VLOOKUP(G576,MODULY_CBA!$B$3:$E$23,3,0),),)</f>
        <v>0.93499999999999994</v>
      </c>
      <c r="N576" s="379">
        <f>IFERROR(IF(B576="funkcna poziadavka",VLOOKUP(G576,MODULY_CBA!$B$3:$E$23,2,0),),)</f>
        <v>1.18</v>
      </c>
      <c r="O576" s="378">
        <f t="shared" si="42"/>
        <v>11.032999999999999</v>
      </c>
      <c r="P576" s="377">
        <f>IFERROR(O576*VLOOKUP(G576,MODULY_CBA!$B$3:$F$23,5,0),)</f>
        <v>330.99</v>
      </c>
      <c r="Q576" s="478" t="str">
        <f>IFERROR(VLOOKUP(G576,MODULY_CBA!$B$3:$I$23,6,0),"")</f>
        <v>Inkrement 5</v>
      </c>
    </row>
    <row r="577" spans="1:17" ht="25.5">
      <c r="A577" s="401">
        <v>575</v>
      </c>
      <c r="B577" s="401" t="s">
        <v>475</v>
      </c>
      <c r="C577" s="530" t="s">
        <v>1060</v>
      </c>
      <c r="D577" s="530" t="s">
        <v>1062</v>
      </c>
      <c r="E577" s="530"/>
      <c r="F577" s="389" t="s">
        <v>8</v>
      </c>
      <c r="G577" s="389" t="s">
        <v>265</v>
      </c>
      <c r="H577" s="379">
        <v>1</v>
      </c>
      <c r="I577" s="379">
        <v>10</v>
      </c>
      <c r="J577" s="379">
        <f t="shared" si="40"/>
        <v>1</v>
      </c>
      <c r="K577" s="379">
        <f t="shared" si="41"/>
        <v>10</v>
      </c>
      <c r="L577" s="643">
        <f>IFERROR(IF(B577="funkcna poziadavka",VLOOKUP(G577,MODULY_CBA!$B$3:$E$23,4,0)*H577/SUMIFS($H$3:$H$199,$G$3:$G$199,G577,$B$3:$B$199,B577),),)</f>
        <v>0</v>
      </c>
      <c r="M577" s="379">
        <f>IFERROR(IF(B577="Funkcna poziadavka",VLOOKUP(G577,MODULY_CBA!$B$3:$E$23,3,0),),)</f>
        <v>0.93499999999999994</v>
      </c>
      <c r="N577" s="379">
        <f>IFERROR(IF(B577="funkcna poziadavka",VLOOKUP(G577,MODULY_CBA!$B$3:$E$23,2,0),),)</f>
        <v>1.18</v>
      </c>
      <c r="O577" s="378">
        <f t="shared" si="42"/>
        <v>11.032999999999999</v>
      </c>
      <c r="P577" s="377">
        <f>IFERROR(O577*VLOOKUP(G577,MODULY_CBA!$B$3:$F$23,5,0),)</f>
        <v>330.99</v>
      </c>
      <c r="Q577" s="478" t="str">
        <f>IFERROR(VLOOKUP(G577,MODULY_CBA!$B$3:$I$23,6,0),"")</f>
        <v>Inkrement 5</v>
      </c>
    </row>
    <row r="578" spans="1:17" ht="25.5">
      <c r="A578" s="401">
        <v>576</v>
      </c>
      <c r="B578" s="401" t="s">
        <v>475</v>
      </c>
      <c r="C578" s="530" t="s">
        <v>1060</v>
      </c>
      <c r="D578" s="530" t="s">
        <v>1063</v>
      </c>
      <c r="E578" s="389"/>
      <c r="F578" s="389" t="s">
        <v>8</v>
      </c>
      <c r="G578" s="389" t="s">
        <v>265</v>
      </c>
      <c r="H578" s="379">
        <v>1</v>
      </c>
      <c r="I578" s="379">
        <v>10</v>
      </c>
      <c r="J578" s="379">
        <f t="shared" si="40"/>
        <v>1</v>
      </c>
      <c r="K578" s="379">
        <f t="shared" si="41"/>
        <v>10</v>
      </c>
      <c r="L578" s="643">
        <f>IFERROR(IF(B578="funkcna poziadavka",VLOOKUP(G578,MODULY_CBA!$B$3:$E$23,4,0)*H578/SUMIFS($H$3:$H$199,$G$3:$G$199,G578,$B$3:$B$199,B578),),)</f>
        <v>0</v>
      </c>
      <c r="M578" s="379">
        <f>IFERROR(IF(B578="Funkcna poziadavka",VLOOKUP(G578,MODULY_CBA!$B$3:$E$23,3,0),),)</f>
        <v>0.93499999999999994</v>
      </c>
      <c r="N578" s="379">
        <f>IFERROR(IF(B578="funkcna poziadavka",VLOOKUP(G578,MODULY_CBA!$B$3:$E$23,2,0),),)</f>
        <v>1.18</v>
      </c>
      <c r="O578" s="378">
        <f t="shared" si="42"/>
        <v>11.032999999999999</v>
      </c>
      <c r="P578" s="377">
        <f>IFERROR(O578*VLOOKUP(G578,MODULY_CBA!$B$3:$F$23,5,0),)</f>
        <v>330.99</v>
      </c>
      <c r="Q578" s="478" t="str">
        <f>IFERROR(VLOOKUP(G578,MODULY_CBA!$B$3:$I$23,6,0),"")</f>
        <v>Inkrement 5</v>
      </c>
    </row>
    <row r="579" spans="1:17" ht="25.5">
      <c r="A579" s="401">
        <v>577</v>
      </c>
      <c r="B579" s="401" t="s">
        <v>475</v>
      </c>
      <c r="C579" s="530" t="s">
        <v>1060</v>
      </c>
      <c r="D579" s="530" t="s">
        <v>1064</v>
      </c>
      <c r="E579" s="389"/>
      <c r="F579" s="389" t="s">
        <v>8</v>
      </c>
      <c r="G579" s="389" t="s">
        <v>265</v>
      </c>
      <c r="H579" s="379">
        <v>1</v>
      </c>
      <c r="I579" s="379">
        <v>10</v>
      </c>
      <c r="J579" s="379">
        <f t="shared" si="40"/>
        <v>1</v>
      </c>
      <c r="K579" s="379">
        <f t="shared" si="41"/>
        <v>10</v>
      </c>
      <c r="L579" s="643">
        <f>IFERROR(IF(B579="funkcna poziadavka",VLOOKUP(G579,MODULY_CBA!$B$3:$E$23,4,0)*H579/SUMIFS($H$3:$H$199,$G$3:$G$199,G579,$B$3:$B$199,B579),),)</f>
        <v>0</v>
      </c>
      <c r="M579" s="379">
        <f>IFERROR(IF(B579="Funkcna poziadavka",VLOOKUP(G579,MODULY_CBA!$B$3:$E$23,3,0),),)</f>
        <v>0.93499999999999994</v>
      </c>
      <c r="N579" s="379">
        <f>IFERROR(IF(B579="funkcna poziadavka",VLOOKUP(G579,MODULY_CBA!$B$3:$E$23,2,0),),)</f>
        <v>1.18</v>
      </c>
      <c r="O579" s="378">
        <f t="shared" si="42"/>
        <v>11.032999999999999</v>
      </c>
      <c r="P579" s="377">
        <f>IFERROR(O579*VLOOKUP(G579,MODULY_CBA!$B$3:$F$23,5,0),)</f>
        <v>330.99</v>
      </c>
      <c r="Q579" s="478" t="str">
        <f>IFERROR(VLOOKUP(G579,MODULY_CBA!$B$3:$I$23,6,0),"")</f>
        <v>Inkrement 5</v>
      </c>
    </row>
    <row r="580" spans="1:17" ht="25.5">
      <c r="A580" s="401">
        <v>578</v>
      </c>
      <c r="B580" s="401" t="s">
        <v>475</v>
      </c>
      <c r="C580" s="530" t="s">
        <v>1060</v>
      </c>
      <c r="D580" s="530" t="s">
        <v>1065</v>
      </c>
      <c r="E580" s="530"/>
      <c r="F580" s="389" t="s">
        <v>8</v>
      </c>
      <c r="G580" s="389" t="s">
        <v>265</v>
      </c>
      <c r="H580" s="379">
        <v>1</v>
      </c>
      <c r="I580" s="379">
        <v>10</v>
      </c>
      <c r="J580" s="379">
        <f t="shared" si="40"/>
        <v>1</v>
      </c>
      <c r="K580" s="379">
        <f t="shared" si="41"/>
        <v>10</v>
      </c>
      <c r="L580" s="643">
        <f>IFERROR(IF(B580="funkcna poziadavka",VLOOKUP(G580,MODULY_CBA!$B$3:$E$23,4,0)*H580/SUMIFS($H$3:$H$199,$G$3:$G$199,G580,$B$3:$B$199,B580),),)</f>
        <v>0</v>
      </c>
      <c r="M580" s="379">
        <f>IFERROR(IF(B580="Funkcna poziadavka",VLOOKUP(G580,MODULY_CBA!$B$3:$E$23,3,0),),)</f>
        <v>0.93499999999999994</v>
      </c>
      <c r="N580" s="379">
        <f>IFERROR(IF(B580="funkcna poziadavka",VLOOKUP(G580,MODULY_CBA!$B$3:$E$23,2,0),),)</f>
        <v>1.18</v>
      </c>
      <c r="O580" s="378">
        <f t="shared" si="42"/>
        <v>11.032999999999999</v>
      </c>
      <c r="P580" s="377">
        <f>IFERROR(O580*VLOOKUP(G580,MODULY_CBA!$B$3:$F$23,5,0),)</f>
        <v>330.99</v>
      </c>
      <c r="Q580" s="478" t="str">
        <f>IFERROR(VLOOKUP(G580,MODULY_CBA!$B$3:$I$23,6,0),"")</f>
        <v>Inkrement 5</v>
      </c>
    </row>
    <row r="581" spans="1:17" ht="25.5">
      <c r="A581" s="401">
        <v>579</v>
      </c>
      <c r="B581" s="401" t="s">
        <v>475</v>
      </c>
      <c r="C581" s="530" t="s">
        <v>1060</v>
      </c>
      <c r="D581" s="530" t="s">
        <v>1066</v>
      </c>
      <c r="E581" s="389"/>
      <c r="F581" s="389" t="s">
        <v>8</v>
      </c>
      <c r="G581" s="389" t="s">
        <v>265</v>
      </c>
      <c r="H581" s="379">
        <v>1</v>
      </c>
      <c r="I581" s="379">
        <v>10</v>
      </c>
      <c r="J581" s="379">
        <f t="shared" ref="J581:J644" si="43">IF(ISNUMBER(H581),H581,)</f>
        <v>1</v>
      </c>
      <c r="K581" s="379">
        <f t="shared" si="41"/>
        <v>10</v>
      </c>
      <c r="L581" s="643">
        <f>IFERROR(IF(B581="funkcna poziadavka",VLOOKUP(G581,MODULY_CBA!$B$3:$E$23,4,0)*H581/SUMIFS($H$3:$H$199,$G$3:$G$199,G581,$B$3:$B$199,B581),),)</f>
        <v>0</v>
      </c>
      <c r="M581" s="379">
        <f>IFERROR(IF(B581="Funkcna poziadavka",VLOOKUP(G581,MODULY_CBA!$B$3:$E$23,3,0),),)</f>
        <v>0.93499999999999994</v>
      </c>
      <c r="N581" s="379">
        <f>IFERROR(IF(B581="funkcna poziadavka",VLOOKUP(G581,MODULY_CBA!$B$3:$E$23,2,0),),)</f>
        <v>1.18</v>
      </c>
      <c r="O581" s="378">
        <f t="shared" si="42"/>
        <v>11.032999999999999</v>
      </c>
      <c r="P581" s="377">
        <f>IFERROR(O581*VLOOKUP(G581,MODULY_CBA!$B$3:$F$23,5,0),)</f>
        <v>330.99</v>
      </c>
      <c r="Q581" s="478" t="str">
        <f>IFERROR(VLOOKUP(G581,MODULY_CBA!$B$3:$I$23,6,0),"")</f>
        <v>Inkrement 5</v>
      </c>
    </row>
    <row r="582" spans="1:17">
      <c r="A582" s="401">
        <v>580</v>
      </c>
      <c r="B582" s="401" t="s">
        <v>475</v>
      </c>
      <c r="C582" s="530" t="s">
        <v>1067</v>
      </c>
      <c r="D582" s="530" t="s">
        <v>1068</v>
      </c>
      <c r="E582" s="389"/>
      <c r="F582" s="389" t="s">
        <v>8</v>
      </c>
      <c r="G582" s="389" t="s">
        <v>265</v>
      </c>
      <c r="H582" s="379">
        <v>1</v>
      </c>
      <c r="I582" s="379">
        <v>10</v>
      </c>
      <c r="J582" s="379">
        <f t="shared" si="43"/>
        <v>1</v>
      </c>
      <c r="K582" s="379">
        <f t="shared" si="41"/>
        <v>10</v>
      </c>
      <c r="L582" s="643">
        <f>IFERROR(IF(B582="funkcna poziadavka",VLOOKUP(G582,MODULY_CBA!$B$3:$E$23,4,0)*H582/SUMIFS($H$3:$H$199,$G$3:$G$199,G582,$B$3:$B$199,B582),),)</f>
        <v>0</v>
      </c>
      <c r="M582" s="379">
        <f>IFERROR(IF(B582="Funkcna poziadavka",VLOOKUP(G582,MODULY_CBA!$B$3:$E$23,3,0),),)</f>
        <v>0.93499999999999994</v>
      </c>
      <c r="N582" s="379">
        <f>IFERROR(IF(B582="funkcna poziadavka",VLOOKUP(G582,MODULY_CBA!$B$3:$E$23,2,0),),)</f>
        <v>1.18</v>
      </c>
      <c r="O582" s="378">
        <f t="shared" si="42"/>
        <v>11.032999999999999</v>
      </c>
      <c r="P582" s="377">
        <f>IFERROR(O582*VLOOKUP(G582,MODULY_CBA!$B$3:$F$23,5,0),)</f>
        <v>330.99</v>
      </c>
      <c r="Q582" s="478" t="str">
        <f>IFERROR(VLOOKUP(G582,MODULY_CBA!$B$3:$I$23,6,0),"")</f>
        <v>Inkrement 5</v>
      </c>
    </row>
    <row r="583" spans="1:17">
      <c r="A583" s="401">
        <v>581</v>
      </c>
      <c r="B583" s="401" t="s">
        <v>475</v>
      </c>
      <c r="C583" s="530" t="s">
        <v>1067</v>
      </c>
      <c r="D583" s="530" t="s">
        <v>1069</v>
      </c>
      <c r="E583" s="389"/>
      <c r="F583" s="389" t="s">
        <v>8</v>
      </c>
      <c r="G583" s="389" t="s">
        <v>265</v>
      </c>
      <c r="H583" s="379">
        <v>1</v>
      </c>
      <c r="I583" s="379">
        <v>10</v>
      </c>
      <c r="J583" s="379">
        <f t="shared" si="43"/>
        <v>1</v>
      </c>
      <c r="K583" s="379">
        <f t="shared" si="41"/>
        <v>10</v>
      </c>
      <c r="L583" s="643">
        <f>IFERROR(IF(B583="funkcna poziadavka",VLOOKUP(G583,MODULY_CBA!$B$3:$E$23,4,0)*H583/SUMIFS($H$3:$H$199,$G$3:$G$199,G583,$B$3:$B$199,B583),),)</f>
        <v>0</v>
      </c>
      <c r="M583" s="379">
        <f>IFERROR(IF(B583="Funkcna poziadavka",VLOOKUP(G583,MODULY_CBA!$B$3:$E$23,3,0),),)</f>
        <v>0.93499999999999994</v>
      </c>
      <c r="N583" s="379">
        <f>IFERROR(IF(B583="funkcna poziadavka",VLOOKUP(G583,MODULY_CBA!$B$3:$E$23,2,0),),)</f>
        <v>1.18</v>
      </c>
      <c r="O583" s="378">
        <f t="shared" si="42"/>
        <v>11.032999999999999</v>
      </c>
      <c r="P583" s="377">
        <f>IFERROR(O583*VLOOKUP(G583,MODULY_CBA!$B$3:$F$23,5,0),)</f>
        <v>330.99</v>
      </c>
      <c r="Q583" s="478" t="str">
        <f>IFERROR(VLOOKUP(G583,MODULY_CBA!$B$3:$I$23,6,0),"")</f>
        <v>Inkrement 5</v>
      </c>
    </row>
    <row r="584" spans="1:17">
      <c r="A584" s="401">
        <v>582</v>
      </c>
      <c r="B584" s="401" t="s">
        <v>475</v>
      </c>
      <c r="C584" s="530" t="s">
        <v>1067</v>
      </c>
      <c r="D584" s="530" t="s">
        <v>1070</v>
      </c>
      <c r="E584" s="389"/>
      <c r="F584" s="389" t="s">
        <v>8</v>
      </c>
      <c r="G584" s="389" t="s">
        <v>265</v>
      </c>
      <c r="H584" s="379">
        <v>1</v>
      </c>
      <c r="I584" s="379">
        <v>10</v>
      </c>
      <c r="J584" s="379">
        <f t="shared" si="43"/>
        <v>1</v>
      </c>
      <c r="K584" s="379">
        <f t="shared" si="41"/>
        <v>10</v>
      </c>
      <c r="L584" s="643">
        <f>IFERROR(IF(B584="funkcna poziadavka",VLOOKUP(G584,MODULY_CBA!$B$3:$E$23,4,0)*H584/SUMIFS($H$3:$H$199,$G$3:$G$199,G584,$B$3:$B$199,B584),),)</f>
        <v>0</v>
      </c>
      <c r="M584" s="379">
        <f>IFERROR(IF(B584="Funkcna poziadavka",VLOOKUP(G584,MODULY_CBA!$B$3:$E$23,3,0),),)</f>
        <v>0.93499999999999994</v>
      </c>
      <c r="N584" s="379">
        <f>IFERROR(IF(B584="funkcna poziadavka",VLOOKUP(G584,MODULY_CBA!$B$3:$E$23,2,0),),)</f>
        <v>1.18</v>
      </c>
      <c r="O584" s="378">
        <f t="shared" si="42"/>
        <v>11.032999999999999</v>
      </c>
      <c r="P584" s="377">
        <f>IFERROR(O584*VLOOKUP(G584,MODULY_CBA!$B$3:$F$23,5,0),)</f>
        <v>330.99</v>
      </c>
      <c r="Q584" s="478" t="str">
        <f>IFERROR(VLOOKUP(G584,MODULY_CBA!$B$3:$I$23,6,0),"")</f>
        <v>Inkrement 5</v>
      </c>
    </row>
    <row r="585" spans="1:17">
      <c r="A585" s="401">
        <v>583</v>
      </c>
      <c r="B585" s="401" t="s">
        <v>475</v>
      </c>
      <c r="C585" s="530" t="s">
        <v>1071</v>
      </c>
      <c r="D585" s="530" t="s">
        <v>1072</v>
      </c>
      <c r="E585" s="389"/>
      <c r="F585" s="389" t="s">
        <v>8</v>
      </c>
      <c r="G585" s="389" t="s">
        <v>265</v>
      </c>
      <c r="H585" s="379">
        <v>1</v>
      </c>
      <c r="I585" s="379">
        <v>10</v>
      </c>
      <c r="J585" s="379">
        <f t="shared" si="43"/>
        <v>1</v>
      </c>
      <c r="K585" s="379">
        <f t="shared" si="41"/>
        <v>10</v>
      </c>
      <c r="L585" s="643">
        <f>IFERROR(IF(B585="funkcna poziadavka",VLOOKUP(G585,MODULY_CBA!$B$3:$E$23,4,0)*H585/SUMIFS($H$3:$H$199,$G$3:$G$199,G585,$B$3:$B$199,B585),),)</f>
        <v>0</v>
      </c>
      <c r="M585" s="379">
        <f>IFERROR(IF(B585="Funkcna poziadavka",VLOOKUP(G585,MODULY_CBA!$B$3:$E$23,3,0),),)</f>
        <v>0.93499999999999994</v>
      </c>
      <c r="N585" s="379">
        <f>IFERROR(IF(B585="funkcna poziadavka",VLOOKUP(G585,MODULY_CBA!$B$3:$E$23,2,0),),)</f>
        <v>1.18</v>
      </c>
      <c r="O585" s="378">
        <f t="shared" si="42"/>
        <v>11.032999999999999</v>
      </c>
      <c r="P585" s="377">
        <f>IFERROR(O585*VLOOKUP(G585,MODULY_CBA!$B$3:$F$23,5,0),)</f>
        <v>330.99</v>
      </c>
      <c r="Q585" s="478" t="str">
        <f>IFERROR(VLOOKUP(G585,MODULY_CBA!$B$3:$I$23,6,0),"")</f>
        <v>Inkrement 5</v>
      </c>
    </row>
    <row r="586" spans="1:17">
      <c r="A586" s="401">
        <v>584</v>
      </c>
      <c r="B586" s="401" t="s">
        <v>475</v>
      </c>
      <c r="C586" s="530" t="s">
        <v>1071</v>
      </c>
      <c r="D586" s="530" t="s">
        <v>1073</v>
      </c>
      <c r="E586" s="389"/>
      <c r="F586" s="389" t="s">
        <v>8</v>
      </c>
      <c r="G586" s="389" t="s">
        <v>265</v>
      </c>
      <c r="H586" s="379">
        <v>1</v>
      </c>
      <c r="I586" s="379">
        <v>10</v>
      </c>
      <c r="J586" s="379">
        <f t="shared" si="43"/>
        <v>1</v>
      </c>
      <c r="K586" s="379">
        <f t="shared" si="41"/>
        <v>10</v>
      </c>
      <c r="L586" s="643">
        <f>IFERROR(IF(B586="funkcna poziadavka",VLOOKUP(G586,MODULY_CBA!$B$3:$E$23,4,0)*H586/SUMIFS($H$3:$H$199,$G$3:$G$199,G586,$B$3:$B$199,B586),),)</f>
        <v>0</v>
      </c>
      <c r="M586" s="379">
        <f>IFERROR(IF(B586="Funkcna poziadavka",VLOOKUP(G586,MODULY_CBA!$B$3:$E$23,3,0),),)</f>
        <v>0.93499999999999994</v>
      </c>
      <c r="N586" s="379">
        <f>IFERROR(IF(B586="funkcna poziadavka",VLOOKUP(G586,MODULY_CBA!$B$3:$E$23,2,0),),)</f>
        <v>1.18</v>
      </c>
      <c r="O586" s="378">
        <f t="shared" si="42"/>
        <v>11.032999999999999</v>
      </c>
      <c r="P586" s="377">
        <f>IFERROR(O586*VLOOKUP(G586,MODULY_CBA!$B$3:$F$23,5,0),)</f>
        <v>330.99</v>
      </c>
      <c r="Q586" s="478" t="str">
        <f>IFERROR(VLOOKUP(G586,MODULY_CBA!$B$3:$I$23,6,0),"")</f>
        <v>Inkrement 5</v>
      </c>
    </row>
    <row r="587" spans="1:17">
      <c r="A587" s="401">
        <v>585</v>
      </c>
      <c r="B587" s="401" t="s">
        <v>475</v>
      </c>
      <c r="C587" s="530" t="s">
        <v>1074</v>
      </c>
      <c r="D587" s="530" t="s">
        <v>1075</v>
      </c>
      <c r="E587" s="389"/>
      <c r="F587" s="389" t="s">
        <v>8</v>
      </c>
      <c r="G587" s="389" t="s">
        <v>265</v>
      </c>
      <c r="H587" s="379">
        <v>1</v>
      </c>
      <c r="I587" s="379">
        <v>10</v>
      </c>
      <c r="J587" s="379">
        <f t="shared" si="43"/>
        <v>1</v>
      </c>
      <c r="K587" s="379">
        <f t="shared" si="41"/>
        <v>10</v>
      </c>
      <c r="L587" s="643">
        <f>IFERROR(IF(B587="funkcna poziadavka",VLOOKUP(G587,MODULY_CBA!$B$3:$E$23,4,0)*H587/SUMIFS($H$3:$H$199,$G$3:$G$199,G587,$B$3:$B$199,B587),),)</f>
        <v>0</v>
      </c>
      <c r="M587" s="379">
        <f>IFERROR(IF(B587="Funkcna poziadavka",VLOOKUP(G587,MODULY_CBA!$B$3:$E$23,3,0),),)</f>
        <v>0.93499999999999994</v>
      </c>
      <c r="N587" s="379">
        <f>IFERROR(IF(B587="funkcna poziadavka",VLOOKUP(G587,MODULY_CBA!$B$3:$E$23,2,0),),)</f>
        <v>1.18</v>
      </c>
      <c r="O587" s="378">
        <f t="shared" si="42"/>
        <v>11.032999999999999</v>
      </c>
      <c r="P587" s="377">
        <f>IFERROR(O587*VLOOKUP(G587,MODULY_CBA!$B$3:$F$23,5,0),)</f>
        <v>330.99</v>
      </c>
      <c r="Q587" s="478" t="str">
        <f>IFERROR(VLOOKUP(G587,MODULY_CBA!$B$3:$I$23,6,0),"")</f>
        <v>Inkrement 5</v>
      </c>
    </row>
    <row r="588" spans="1:17">
      <c r="A588" s="401">
        <v>586</v>
      </c>
      <c r="B588" s="401" t="s">
        <v>475</v>
      </c>
      <c r="C588" s="530" t="s">
        <v>1074</v>
      </c>
      <c r="D588" s="530" t="s">
        <v>1076</v>
      </c>
      <c r="E588" s="389"/>
      <c r="F588" s="389" t="s">
        <v>8</v>
      </c>
      <c r="G588" s="389" t="s">
        <v>265</v>
      </c>
      <c r="H588" s="379">
        <v>1</v>
      </c>
      <c r="I588" s="379">
        <v>10</v>
      </c>
      <c r="J588" s="379">
        <f t="shared" si="43"/>
        <v>1</v>
      </c>
      <c r="K588" s="379">
        <f t="shared" ref="K588:K651" si="44">H588*I588</f>
        <v>10</v>
      </c>
      <c r="L588" s="643">
        <f>IFERROR(IF(B588="funkcna poziadavka",VLOOKUP(G588,MODULY_CBA!$B$3:$E$23,4,0)*H588/SUMIFS($H$3:$H$199,$G$3:$G$199,G588,$B$3:$B$199,B588),),)</f>
        <v>0</v>
      </c>
      <c r="M588" s="379">
        <f>IFERROR(IF(B588="Funkcna poziadavka",VLOOKUP(G588,MODULY_CBA!$B$3:$E$23,3,0),),)</f>
        <v>0.93499999999999994</v>
      </c>
      <c r="N588" s="379">
        <f>IFERROR(IF(B588="funkcna poziadavka",VLOOKUP(G588,MODULY_CBA!$B$3:$E$23,2,0),),)</f>
        <v>1.18</v>
      </c>
      <c r="O588" s="378">
        <f t="shared" ref="O588:O651" si="45">(K588+L588)*M588*N588</f>
        <v>11.032999999999999</v>
      </c>
      <c r="P588" s="377">
        <f>IFERROR(O588*VLOOKUP(G588,MODULY_CBA!$B$3:$F$23,5,0),)</f>
        <v>330.99</v>
      </c>
      <c r="Q588" s="478" t="str">
        <f>IFERROR(VLOOKUP(G588,MODULY_CBA!$B$3:$I$23,6,0),"")</f>
        <v>Inkrement 5</v>
      </c>
    </row>
    <row r="589" spans="1:17">
      <c r="A589" s="401">
        <v>587</v>
      </c>
      <c r="B589" s="401" t="s">
        <v>475</v>
      </c>
      <c r="C589" s="530" t="s">
        <v>1077</v>
      </c>
      <c r="D589" s="530" t="s">
        <v>1046</v>
      </c>
      <c r="E589" s="389"/>
      <c r="F589" s="389" t="s">
        <v>8</v>
      </c>
      <c r="G589" s="389" t="s">
        <v>265</v>
      </c>
      <c r="H589" s="379">
        <v>1</v>
      </c>
      <c r="I589" s="379">
        <v>10</v>
      </c>
      <c r="J589" s="379">
        <f t="shared" si="43"/>
        <v>1</v>
      </c>
      <c r="K589" s="379">
        <f t="shared" si="44"/>
        <v>10</v>
      </c>
      <c r="L589" s="643">
        <f>IFERROR(IF(B589="funkcna poziadavka",VLOOKUP(G589,MODULY_CBA!$B$3:$E$23,4,0)*H589/SUMIFS($H$3:$H$199,$G$3:$G$199,G589,$B$3:$B$199,B589),),)</f>
        <v>0</v>
      </c>
      <c r="M589" s="379">
        <f>IFERROR(IF(B589="Funkcna poziadavka",VLOOKUP(G589,MODULY_CBA!$B$3:$E$23,3,0),),)</f>
        <v>0.93499999999999994</v>
      </c>
      <c r="N589" s="379">
        <f>IFERROR(IF(B589="funkcna poziadavka",VLOOKUP(G589,MODULY_CBA!$B$3:$E$23,2,0),),)</f>
        <v>1.18</v>
      </c>
      <c r="O589" s="378">
        <f t="shared" si="45"/>
        <v>11.032999999999999</v>
      </c>
      <c r="P589" s="377">
        <f>IFERROR(O589*VLOOKUP(G589,MODULY_CBA!$B$3:$F$23,5,0),)</f>
        <v>330.99</v>
      </c>
      <c r="Q589" s="478" t="str">
        <f>IFERROR(VLOOKUP(G589,MODULY_CBA!$B$3:$I$23,6,0),"")</f>
        <v>Inkrement 5</v>
      </c>
    </row>
    <row r="590" spans="1:17">
      <c r="A590" s="401">
        <v>588</v>
      </c>
      <c r="B590" s="401" t="s">
        <v>475</v>
      </c>
      <c r="C590" s="530" t="s">
        <v>1077</v>
      </c>
      <c r="D590" s="530" t="s">
        <v>1078</v>
      </c>
      <c r="E590" s="389"/>
      <c r="F590" s="389" t="s">
        <v>8</v>
      </c>
      <c r="G590" s="389" t="s">
        <v>265</v>
      </c>
      <c r="H590" s="379">
        <v>1</v>
      </c>
      <c r="I590" s="379">
        <v>10</v>
      </c>
      <c r="J590" s="379">
        <f t="shared" si="43"/>
        <v>1</v>
      </c>
      <c r="K590" s="379">
        <f t="shared" si="44"/>
        <v>10</v>
      </c>
      <c r="L590" s="643">
        <f>IFERROR(IF(B590="funkcna poziadavka",VLOOKUP(G590,MODULY_CBA!$B$3:$E$23,4,0)*H590/SUMIFS($H$3:$H$199,$G$3:$G$199,G590,$B$3:$B$199,B590),),)</f>
        <v>0</v>
      </c>
      <c r="M590" s="379">
        <f>IFERROR(IF(B590="Funkcna poziadavka",VLOOKUP(G590,MODULY_CBA!$B$3:$E$23,3,0),),)</f>
        <v>0.93499999999999994</v>
      </c>
      <c r="N590" s="379">
        <f>IFERROR(IF(B590="funkcna poziadavka",VLOOKUP(G590,MODULY_CBA!$B$3:$E$23,2,0),),)</f>
        <v>1.18</v>
      </c>
      <c r="O590" s="378">
        <f t="shared" si="45"/>
        <v>11.032999999999999</v>
      </c>
      <c r="P590" s="377">
        <f>IFERROR(O590*VLOOKUP(G590,MODULY_CBA!$B$3:$F$23,5,0),)</f>
        <v>330.99</v>
      </c>
      <c r="Q590" s="478" t="str">
        <f>IFERROR(VLOOKUP(G590,MODULY_CBA!$B$3:$I$23,6,0),"")</f>
        <v>Inkrement 5</v>
      </c>
    </row>
    <row r="591" spans="1:17">
      <c r="A591" s="401">
        <v>589</v>
      </c>
      <c r="B591" s="401" t="s">
        <v>475</v>
      </c>
      <c r="C591" s="530" t="s">
        <v>1077</v>
      </c>
      <c r="D591" s="530" t="s">
        <v>1048</v>
      </c>
      <c r="E591" s="389"/>
      <c r="F591" s="389" t="s">
        <v>8</v>
      </c>
      <c r="G591" s="389" t="s">
        <v>265</v>
      </c>
      <c r="H591" s="379">
        <v>1</v>
      </c>
      <c r="I591" s="379">
        <v>10</v>
      </c>
      <c r="J591" s="379">
        <f t="shared" si="43"/>
        <v>1</v>
      </c>
      <c r="K591" s="379">
        <f t="shared" si="44"/>
        <v>10</v>
      </c>
      <c r="L591" s="643">
        <f>IFERROR(IF(B591="funkcna poziadavka",VLOOKUP(G591,MODULY_CBA!$B$3:$E$23,4,0)*H591/SUMIFS($H$3:$H$199,$G$3:$G$199,G591,$B$3:$B$199,B591),),)</f>
        <v>0</v>
      </c>
      <c r="M591" s="379">
        <f>IFERROR(IF(B591="Funkcna poziadavka",VLOOKUP(G591,MODULY_CBA!$B$3:$E$23,3,0),),)</f>
        <v>0.93499999999999994</v>
      </c>
      <c r="N591" s="379">
        <f>IFERROR(IF(B591="funkcna poziadavka",VLOOKUP(G591,MODULY_CBA!$B$3:$E$23,2,0),),)</f>
        <v>1.18</v>
      </c>
      <c r="O591" s="378">
        <f t="shared" si="45"/>
        <v>11.032999999999999</v>
      </c>
      <c r="P591" s="377">
        <f>IFERROR(O591*VLOOKUP(G591,MODULY_CBA!$B$3:$F$23,5,0),)</f>
        <v>330.99</v>
      </c>
      <c r="Q591" s="478" t="str">
        <f>IFERROR(VLOOKUP(G591,MODULY_CBA!$B$3:$I$23,6,0),"")</f>
        <v>Inkrement 5</v>
      </c>
    </row>
    <row r="592" spans="1:17">
      <c r="A592" s="401">
        <v>590</v>
      </c>
      <c r="B592" s="401" t="s">
        <v>475</v>
      </c>
      <c r="C592" s="530" t="s">
        <v>1077</v>
      </c>
      <c r="D592" s="530" t="s">
        <v>1049</v>
      </c>
      <c r="E592" s="389"/>
      <c r="F592" s="389" t="s">
        <v>8</v>
      </c>
      <c r="G592" s="389" t="s">
        <v>265</v>
      </c>
      <c r="H592" s="379">
        <v>1</v>
      </c>
      <c r="I592" s="379">
        <v>10</v>
      </c>
      <c r="J592" s="379">
        <f t="shared" si="43"/>
        <v>1</v>
      </c>
      <c r="K592" s="379">
        <f t="shared" si="44"/>
        <v>10</v>
      </c>
      <c r="L592" s="643">
        <f>IFERROR(IF(B592="funkcna poziadavka",VLOOKUP(G592,MODULY_CBA!$B$3:$E$23,4,0)*H592/SUMIFS($H$3:$H$199,$G$3:$G$199,G592,$B$3:$B$199,B592),),)</f>
        <v>0</v>
      </c>
      <c r="M592" s="379">
        <f>IFERROR(IF(B592="Funkcna poziadavka",VLOOKUP(G592,MODULY_CBA!$B$3:$E$23,3,0),),)</f>
        <v>0.93499999999999994</v>
      </c>
      <c r="N592" s="379">
        <f>IFERROR(IF(B592="funkcna poziadavka",VLOOKUP(G592,MODULY_CBA!$B$3:$E$23,2,0),),)</f>
        <v>1.18</v>
      </c>
      <c r="O592" s="378">
        <f t="shared" si="45"/>
        <v>11.032999999999999</v>
      </c>
      <c r="P592" s="377">
        <f>IFERROR(O592*VLOOKUP(G592,MODULY_CBA!$B$3:$F$23,5,0),)</f>
        <v>330.99</v>
      </c>
      <c r="Q592" s="478" t="str">
        <f>IFERROR(VLOOKUP(G592,MODULY_CBA!$B$3:$I$23,6,0),"")</f>
        <v>Inkrement 5</v>
      </c>
    </row>
    <row r="593" spans="1:17">
      <c r="A593" s="401">
        <v>591</v>
      </c>
      <c r="B593" s="401" t="s">
        <v>475</v>
      </c>
      <c r="C593" s="530" t="s">
        <v>1077</v>
      </c>
      <c r="D593" s="530" t="s">
        <v>1079</v>
      </c>
      <c r="E593" s="389"/>
      <c r="F593" s="389" t="s">
        <v>8</v>
      </c>
      <c r="G593" s="389" t="s">
        <v>265</v>
      </c>
      <c r="H593" s="379">
        <v>1</v>
      </c>
      <c r="I593" s="379">
        <v>10</v>
      </c>
      <c r="J593" s="379">
        <f t="shared" si="43"/>
        <v>1</v>
      </c>
      <c r="K593" s="379">
        <f t="shared" si="44"/>
        <v>10</v>
      </c>
      <c r="L593" s="643">
        <f>IFERROR(IF(B593="funkcna poziadavka",VLOOKUP(G593,MODULY_CBA!$B$3:$E$23,4,0)*H593/SUMIFS($H$3:$H$199,$G$3:$G$199,G593,$B$3:$B$199,B593),),)</f>
        <v>0</v>
      </c>
      <c r="M593" s="379">
        <f>IFERROR(IF(B593="Funkcna poziadavka",VLOOKUP(G593,MODULY_CBA!$B$3:$E$23,3,0),),)</f>
        <v>0.93499999999999994</v>
      </c>
      <c r="N593" s="379">
        <f>IFERROR(IF(B593="funkcna poziadavka",VLOOKUP(G593,MODULY_CBA!$B$3:$E$23,2,0),),)</f>
        <v>1.18</v>
      </c>
      <c r="O593" s="378">
        <f t="shared" si="45"/>
        <v>11.032999999999999</v>
      </c>
      <c r="P593" s="377">
        <f>IFERROR(O593*VLOOKUP(G593,MODULY_CBA!$B$3:$F$23,5,0),)</f>
        <v>330.99</v>
      </c>
      <c r="Q593" s="478" t="str">
        <f>IFERROR(VLOOKUP(G593,MODULY_CBA!$B$3:$I$23,6,0),"")</f>
        <v>Inkrement 5</v>
      </c>
    </row>
    <row r="594" spans="1:17">
      <c r="A594" s="401">
        <v>592</v>
      </c>
      <c r="B594" s="401" t="s">
        <v>475</v>
      </c>
      <c r="C594" s="530" t="s">
        <v>1077</v>
      </c>
      <c r="D594" s="530" t="s">
        <v>1080</v>
      </c>
      <c r="E594" s="389"/>
      <c r="F594" s="389" t="s">
        <v>8</v>
      </c>
      <c r="G594" s="389" t="s">
        <v>265</v>
      </c>
      <c r="H594" s="379">
        <v>1</v>
      </c>
      <c r="I594" s="379">
        <v>10</v>
      </c>
      <c r="J594" s="379">
        <f t="shared" si="43"/>
        <v>1</v>
      </c>
      <c r="K594" s="379">
        <f t="shared" si="44"/>
        <v>10</v>
      </c>
      <c r="L594" s="643">
        <f>IFERROR(IF(B594="funkcna poziadavka",VLOOKUP(G594,MODULY_CBA!$B$3:$E$23,4,0)*H594/SUMIFS($H$3:$H$199,$G$3:$G$199,G594,$B$3:$B$199,B594),),)</f>
        <v>0</v>
      </c>
      <c r="M594" s="379">
        <f>IFERROR(IF(B594="Funkcna poziadavka",VLOOKUP(G594,MODULY_CBA!$B$3:$E$23,3,0),),)</f>
        <v>0.93499999999999994</v>
      </c>
      <c r="N594" s="379">
        <f>IFERROR(IF(B594="funkcna poziadavka",VLOOKUP(G594,MODULY_CBA!$B$3:$E$23,2,0),),)</f>
        <v>1.18</v>
      </c>
      <c r="O594" s="378">
        <f t="shared" si="45"/>
        <v>11.032999999999999</v>
      </c>
      <c r="P594" s="377">
        <f>IFERROR(O594*VLOOKUP(G594,MODULY_CBA!$B$3:$F$23,5,0),)</f>
        <v>330.99</v>
      </c>
      <c r="Q594" s="478" t="str">
        <f>IFERROR(VLOOKUP(G594,MODULY_CBA!$B$3:$I$23,6,0),"")</f>
        <v>Inkrement 5</v>
      </c>
    </row>
    <row r="595" spans="1:17" ht="25.5">
      <c r="A595" s="401">
        <v>593</v>
      </c>
      <c r="B595" s="401" t="s">
        <v>475</v>
      </c>
      <c r="C595" s="530" t="s">
        <v>1077</v>
      </c>
      <c r="D595" s="530" t="s">
        <v>1081</v>
      </c>
      <c r="E595" s="530"/>
      <c r="F595" s="389" t="s">
        <v>8</v>
      </c>
      <c r="G595" s="389" t="s">
        <v>265</v>
      </c>
      <c r="H595" s="379">
        <v>1</v>
      </c>
      <c r="I595" s="379">
        <v>10</v>
      </c>
      <c r="J595" s="379">
        <f t="shared" si="43"/>
        <v>1</v>
      </c>
      <c r="K595" s="379">
        <f t="shared" si="44"/>
        <v>10</v>
      </c>
      <c r="L595" s="643">
        <f>IFERROR(IF(B595="funkcna poziadavka",VLOOKUP(G595,MODULY_CBA!$B$3:$E$23,4,0)*H595/SUMIFS($H$3:$H$199,$G$3:$G$199,G595,$B$3:$B$199,B595),),)</f>
        <v>0</v>
      </c>
      <c r="M595" s="379">
        <f>IFERROR(IF(B595="Funkcna poziadavka",VLOOKUP(G595,MODULY_CBA!$B$3:$E$23,3,0),),)</f>
        <v>0.93499999999999994</v>
      </c>
      <c r="N595" s="379">
        <f>IFERROR(IF(B595="funkcna poziadavka",VLOOKUP(G595,MODULY_CBA!$B$3:$E$23,2,0),),)</f>
        <v>1.18</v>
      </c>
      <c r="O595" s="378">
        <f t="shared" si="45"/>
        <v>11.032999999999999</v>
      </c>
      <c r="P595" s="377">
        <f>IFERROR(O595*VLOOKUP(G595,MODULY_CBA!$B$3:$F$23,5,0),)</f>
        <v>330.99</v>
      </c>
      <c r="Q595" s="478" t="str">
        <f>IFERROR(VLOOKUP(G595,MODULY_CBA!$B$3:$I$23,6,0),"")</f>
        <v>Inkrement 5</v>
      </c>
    </row>
    <row r="596" spans="1:17">
      <c r="A596" s="401">
        <v>594</v>
      </c>
      <c r="B596" s="401" t="s">
        <v>475</v>
      </c>
      <c r="C596" s="530" t="s">
        <v>1077</v>
      </c>
      <c r="D596" s="530" t="s">
        <v>1082</v>
      </c>
      <c r="E596" s="530"/>
      <c r="F596" s="389" t="s">
        <v>8</v>
      </c>
      <c r="G596" s="389" t="s">
        <v>265</v>
      </c>
      <c r="H596" s="379">
        <v>1</v>
      </c>
      <c r="I596" s="379">
        <v>10</v>
      </c>
      <c r="J596" s="379">
        <f t="shared" si="43"/>
        <v>1</v>
      </c>
      <c r="K596" s="379">
        <f t="shared" si="44"/>
        <v>10</v>
      </c>
      <c r="L596" s="643">
        <f>IFERROR(IF(B596="funkcna poziadavka",VLOOKUP(G596,MODULY_CBA!$B$3:$E$23,4,0)*H596/SUMIFS($H$3:$H$199,$G$3:$G$199,G596,$B$3:$B$199,B596),),)</f>
        <v>0</v>
      </c>
      <c r="M596" s="379">
        <f>IFERROR(IF(B596="Funkcna poziadavka",VLOOKUP(G596,MODULY_CBA!$B$3:$E$23,3,0),),)</f>
        <v>0.93499999999999994</v>
      </c>
      <c r="N596" s="379">
        <f>IFERROR(IF(B596="funkcna poziadavka",VLOOKUP(G596,MODULY_CBA!$B$3:$E$23,2,0),),)</f>
        <v>1.18</v>
      </c>
      <c r="O596" s="378">
        <f t="shared" si="45"/>
        <v>11.032999999999999</v>
      </c>
      <c r="P596" s="377">
        <f>IFERROR(O596*VLOOKUP(G596,MODULY_CBA!$B$3:$F$23,5,0),)</f>
        <v>330.99</v>
      </c>
      <c r="Q596" s="478" t="str">
        <f>IFERROR(VLOOKUP(G596,MODULY_CBA!$B$3:$I$23,6,0),"")</f>
        <v>Inkrement 5</v>
      </c>
    </row>
    <row r="597" spans="1:17">
      <c r="A597" s="401">
        <v>595</v>
      </c>
      <c r="B597" s="401" t="s">
        <v>475</v>
      </c>
      <c r="C597" s="530" t="s">
        <v>1077</v>
      </c>
      <c r="D597" s="530" t="s">
        <v>1083</v>
      </c>
      <c r="E597" s="530"/>
      <c r="F597" s="389" t="s">
        <v>8</v>
      </c>
      <c r="G597" s="389" t="s">
        <v>265</v>
      </c>
      <c r="H597" s="379">
        <v>1</v>
      </c>
      <c r="I597" s="379">
        <v>10</v>
      </c>
      <c r="J597" s="379">
        <f t="shared" si="43"/>
        <v>1</v>
      </c>
      <c r="K597" s="379">
        <f t="shared" si="44"/>
        <v>10</v>
      </c>
      <c r="L597" s="643">
        <f>IFERROR(IF(B597="funkcna poziadavka",VLOOKUP(G597,MODULY_CBA!$B$3:$E$23,4,0)*H597/SUMIFS($H$3:$H$199,$G$3:$G$199,G597,$B$3:$B$199,B597),),)</f>
        <v>0</v>
      </c>
      <c r="M597" s="379">
        <f>IFERROR(IF(B597="Funkcna poziadavka",VLOOKUP(G597,MODULY_CBA!$B$3:$E$23,3,0),),)</f>
        <v>0.93499999999999994</v>
      </c>
      <c r="N597" s="379">
        <f>IFERROR(IF(B597="funkcna poziadavka",VLOOKUP(G597,MODULY_CBA!$B$3:$E$23,2,0),),)</f>
        <v>1.18</v>
      </c>
      <c r="O597" s="378">
        <f t="shared" si="45"/>
        <v>11.032999999999999</v>
      </c>
      <c r="P597" s="377">
        <f>IFERROR(O597*VLOOKUP(G597,MODULY_CBA!$B$3:$F$23,5,0),)</f>
        <v>330.99</v>
      </c>
      <c r="Q597" s="478" t="str">
        <f>IFERROR(VLOOKUP(G597,MODULY_CBA!$B$3:$I$23,6,0),"")</f>
        <v>Inkrement 5</v>
      </c>
    </row>
    <row r="598" spans="1:17" ht="25.5">
      <c r="A598" s="401">
        <v>596</v>
      </c>
      <c r="B598" s="401" t="s">
        <v>475</v>
      </c>
      <c r="C598" s="530" t="s">
        <v>1077</v>
      </c>
      <c r="D598" s="530" t="s">
        <v>1055</v>
      </c>
      <c r="E598" s="530"/>
      <c r="F598" s="389" t="s">
        <v>8</v>
      </c>
      <c r="G598" s="389" t="s">
        <v>265</v>
      </c>
      <c r="H598" s="379">
        <v>1</v>
      </c>
      <c r="I598" s="379">
        <v>10</v>
      </c>
      <c r="J598" s="379">
        <f t="shared" si="43"/>
        <v>1</v>
      </c>
      <c r="K598" s="379">
        <f t="shared" si="44"/>
        <v>10</v>
      </c>
      <c r="L598" s="643">
        <f>IFERROR(IF(B598="funkcna poziadavka",VLOOKUP(G598,MODULY_CBA!$B$3:$E$23,4,0)*H598/SUMIFS($H$3:$H$199,$G$3:$G$199,G598,$B$3:$B$199,B598),),)</f>
        <v>0</v>
      </c>
      <c r="M598" s="379">
        <f>IFERROR(IF(B598="Funkcna poziadavka",VLOOKUP(G598,MODULY_CBA!$B$3:$E$23,3,0),),)</f>
        <v>0.93499999999999994</v>
      </c>
      <c r="N598" s="379">
        <f>IFERROR(IF(B598="funkcna poziadavka",VLOOKUP(G598,MODULY_CBA!$B$3:$E$23,2,0),),)</f>
        <v>1.18</v>
      </c>
      <c r="O598" s="378">
        <f t="shared" si="45"/>
        <v>11.032999999999999</v>
      </c>
      <c r="P598" s="377">
        <f>IFERROR(O598*VLOOKUP(G598,MODULY_CBA!$B$3:$F$23,5,0),)</f>
        <v>330.99</v>
      </c>
      <c r="Q598" s="478" t="str">
        <f>IFERROR(VLOOKUP(G598,MODULY_CBA!$B$3:$I$23,6,0),"")</f>
        <v>Inkrement 5</v>
      </c>
    </row>
    <row r="599" spans="1:17">
      <c r="A599" s="401">
        <v>597</v>
      </c>
      <c r="B599" s="401" t="s">
        <v>475</v>
      </c>
      <c r="C599" s="530" t="s">
        <v>1084</v>
      </c>
      <c r="D599" s="530" t="s">
        <v>1057</v>
      </c>
      <c r="E599" s="530"/>
      <c r="F599" s="389" t="s">
        <v>8</v>
      </c>
      <c r="G599" s="389" t="s">
        <v>265</v>
      </c>
      <c r="H599" s="379">
        <v>1</v>
      </c>
      <c r="I599" s="379">
        <v>10</v>
      </c>
      <c r="J599" s="379">
        <f t="shared" si="43"/>
        <v>1</v>
      </c>
      <c r="K599" s="379">
        <f t="shared" si="44"/>
        <v>10</v>
      </c>
      <c r="L599" s="643">
        <f>IFERROR(IF(B599="funkcna poziadavka",VLOOKUP(G599,MODULY_CBA!$B$3:$E$23,4,0)*H599/SUMIFS($H$3:$H$199,$G$3:$G$199,G599,$B$3:$B$199,B599),),)</f>
        <v>0</v>
      </c>
      <c r="M599" s="379">
        <f>IFERROR(IF(B599="Funkcna poziadavka",VLOOKUP(G599,MODULY_CBA!$B$3:$E$23,3,0),),)</f>
        <v>0.93499999999999994</v>
      </c>
      <c r="N599" s="379">
        <f>IFERROR(IF(B599="funkcna poziadavka",VLOOKUP(G599,MODULY_CBA!$B$3:$E$23,2,0),),)</f>
        <v>1.18</v>
      </c>
      <c r="O599" s="378">
        <f t="shared" si="45"/>
        <v>11.032999999999999</v>
      </c>
      <c r="P599" s="377">
        <f>IFERROR(O599*VLOOKUP(G599,MODULY_CBA!$B$3:$F$23,5,0),)</f>
        <v>330.99</v>
      </c>
      <c r="Q599" s="478" t="str">
        <f>IFERROR(VLOOKUP(G599,MODULY_CBA!$B$3:$I$23,6,0),"")</f>
        <v>Inkrement 5</v>
      </c>
    </row>
    <row r="600" spans="1:17">
      <c r="A600" s="401">
        <v>598</v>
      </c>
      <c r="B600" s="401" t="s">
        <v>475</v>
      </c>
      <c r="C600" s="530" t="s">
        <v>1084</v>
      </c>
      <c r="D600" s="530" t="s">
        <v>1058</v>
      </c>
      <c r="E600" s="530"/>
      <c r="F600" s="389" t="s">
        <v>8</v>
      </c>
      <c r="G600" s="389" t="s">
        <v>265</v>
      </c>
      <c r="H600" s="379">
        <v>1</v>
      </c>
      <c r="I600" s="379">
        <v>10</v>
      </c>
      <c r="J600" s="379">
        <f t="shared" si="43"/>
        <v>1</v>
      </c>
      <c r="K600" s="379">
        <f t="shared" si="44"/>
        <v>10</v>
      </c>
      <c r="L600" s="643">
        <f>IFERROR(IF(B600="funkcna poziadavka",VLOOKUP(G600,MODULY_CBA!$B$3:$E$23,4,0)*H600/SUMIFS($H$3:$H$199,$G$3:$G$199,G600,$B$3:$B$199,B600),),)</f>
        <v>0</v>
      </c>
      <c r="M600" s="379">
        <f>IFERROR(IF(B600="Funkcna poziadavka",VLOOKUP(G600,MODULY_CBA!$B$3:$E$23,3,0),),)</f>
        <v>0.93499999999999994</v>
      </c>
      <c r="N600" s="379">
        <f>IFERROR(IF(B600="funkcna poziadavka",VLOOKUP(G600,MODULY_CBA!$B$3:$E$23,2,0),),)</f>
        <v>1.18</v>
      </c>
      <c r="O600" s="378">
        <f t="shared" si="45"/>
        <v>11.032999999999999</v>
      </c>
      <c r="P600" s="377">
        <f>IFERROR(O600*VLOOKUP(G600,MODULY_CBA!$B$3:$F$23,5,0),)</f>
        <v>330.99</v>
      </c>
      <c r="Q600" s="478" t="str">
        <f>IFERROR(VLOOKUP(G600,MODULY_CBA!$B$3:$I$23,6,0),"")</f>
        <v>Inkrement 5</v>
      </c>
    </row>
    <row r="601" spans="1:17">
      <c r="A601" s="401">
        <v>599</v>
      </c>
      <c r="B601" s="401" t="s">
        <v>475</v>
      </c>
      <c r="C601" s="530" t="s">
        <v>1084</v>
      </c>
      <c r="D601" s="530" t="s">
        <v>1059</v>
      </c>
      <c r="E601" s="530"/>
      <c r="F601" s="389" t="s">
        <v>8</v>
      </c>
      <c r="G601" s="389" t="s">
        <v>265</v>
      </c>
      <c r="H601" s="379">
        <v>1</v>
      </c>
      <c r="I601" s="379">
        <v>10</v>
      </c>
      <c r="J601" s="379">
        <f t="shared" si="43"/>
        <v>1</v>
      </c>
      <c r="K601" s="379">
        <f t="shared" si="44"/>
        <v>10</v>
      </c>
      <c r="L601" s="643">
        <f>IFERROR(IF(B601="funkcna poziadavka",VLOOKUP(G601,MODULY_CBA!$B$3:$E$23,4,0)*H601/SUMIFS($H$3:$H$199,$G$3:$G$199,G601,$B$3:$B$199,B601),),)</f>
        <v>0</v>
      </c>
      <c r="M601" s="379">
        <f>IFERROR(IF(B601="Funkcna poziadavka",VLOOKUP(G601,MODULY_CBA!$B$3:$E$23,3,0),),)</f>
        <v>0.93499999999999994</v>
      </c>
      <c r="N601" s="379">
        <f>IFERROR(IF(B601="funkcna poziadavka",VLOOKUP(G601,MODULY_CBA!$B$3:$E$23,2,0),),)</f>
        <v>1.18</v>
      </c>
      <c r="O601" s="378">
        <f t="shared" si="45"/>
        <v>11.032999999999999</v>
      </c>
      <c r="P601" s="377">
        <f>IFERROR(O601*VLOOKUP(G601,MODULY_CBA!$B$3:$F$23,5,0),)</f>
        <v>330.99</v>
      </c>
      <c r="Q601" s="478" t="str">
        <f>IFERROR(VLOOKUP(G601,MODULY_CBA!$B$3:$I$23,6,0),"")</f>
        <v>Inkrement 5</v>
      </c>
    </row>
    <row r="602" spans="1:17">
      <c r="A602" s="401">
        <v>600</v>
      </c>
      <c r="B602" s="401" t="s">
        <v>475</v>
      </c>
      <c r="C602" s="530" t="s">
        <v>1085</v>
      </c>
      <c r="D602" s="530" t="s">
        <v>1061</v>
      </c>
      <c r="E602" s="530"/>
      <c r="F602" s="389" t="s">
        <v>8</v>
      </c>
      <c r="G602" s="389" t="s">
        <v>265</v>
      </c>
      <c r="H602" s="379">
        <v>1</v>
      </c>
      <c r="I602" s="379">
        <v>10</v>
      </c>
      <c r="J602" s="379">
        <f t="shared" si="43"/>
        <v>1</v>
      </c>
      <c r="K602" s="379">
        <f t="shared" si="44"/>
        <v>10</v>
      </c>
      <c r="L602" s="643">
        <f>IFERROR(IF(B602="funkcna poziadavka",VLOOKUP(G602,MODULY_CBA!$B$3:$E$23,4,0)*H602/SUMIFS($H$3:$H$199,$G$3:$G$199,G602,$B$3:$B$199,B602),),)</f>
        <v>0</v>
      </c>
      <c r="M602" s="379">
        <f>IFERROR(IF(B602="Funkcna poziadavka",VLOOKUP(G602,MODULY_CBA!$B$3:$E$23,3,0),),)</f>
        <v>0.93499999999999994</v>
      </c>
      <c r="N602" s="379">
        <f>IFERROR(IF(B602="funkcna poziadavka",VLOOKUP(G602,MODULY_CBA!$B$3:$E$23,2,0),),)</f>
        <v>1.18</v>
      </c>
      <c r="O602" s="378">
        <f t="shared" si="45"/>
        <v>11.032999999999999</v>
      </c>
      <c r="P602" s="377">
        <f>IFERROR(O602*VLOOKUP(G602,MODULY_CBA!$B$3:$F$23,5,0),)</f>
        <v>330.99</v>
      </c>
      <c r="Q602" s="478" t="str">
        <f>IFERROR(VLOOKUP(G602,MODULY_CBA!$B$3:$I$23,6,0),"")</f>
        <v>Inkrement 5</v>
      </c>
    </row>
    <row r="603" spans="1:17">
      <c r="A603" s="401">
        <v>601</v>
      </c>
      <c r="B603" s="401" t="s">
        <v>475</v>
      </c>
      <c r="C603" s="530" t="s">
        <v>1085</v>
      </c>
      <c r="D603" s="530" t="s">
        <v>1062</v>
      </c>
      <c r="E603" s="530"/>
      <c r="F603" s="389" t="s">
        <v>8</v>
      </c>
      <c r="G603" s="389" t="s">
        <v>265</v>
      </c>
      <c r="H603" s="379">
        <v>1</v>
      </c>
      <c r="I603" s="379">
        <v>10</v>
      </c>
      <c r="J603" s="379">
        <f t="shared" si="43"/>
        <v>1</v>
      </c>
      <c r="K603" s="379">
        <f t="shared" si="44"/>
        <v>10</v>
      </c>
      <c r="L603" s="643">
        <f>IFERROR(IF(B603="funkcna poziadavka",VLOOKUP(G603,MODULY_CBA!$B$3:$E$23,4,0)*H603/SUMIFS($H$3:$H$199,$G$3:$G$199,G603,$B$3:$B$199,B603),),)</f>
        <v>0</v>
      </c>
      <c r="M603" s="379">
        <f>IFERROR(IF(B603="Funkcna poziadavka",VLOOKUP(G603,MODULY_CBA!$B$3:$E$23,3,0),),)</f>
        <v>0.93499999999999994</v>
      </c>
      <c r="N603" s="379">
        <f>IFERROR(IF(B603="funkcna poziadavka",VLOOKUP(G603,MODULY_CBA!$B$3:$E$23,2,0),),)</f>
        <v>1.18</v>
      </c>
      <c r="O603" s="378">
        <f t="shared" si="45"/>
        <v>11.032999999999999</v>
      </c>
      <c r="P603" s="377">
        <f>IFERROR(O603*VLOOKUP(G603,MODULY_CBA!$B$3:$F$23,5,0),)</f>
        <v>330.99</v>
      </c>
      <c r="Q603" s="478" t="str">
        <f>IFERROR(VLOOKUP(G603,MODULY_CBA!$B$3:$I$23,6,0),"")</f>
        <v>Inkrement 5</v>
      </c>
    </row>
    <row r="604" spans="1:17">
      <c r="A604" s="401">
        <v>602</v>
      </c>
      <c r="B604" s="401" t="s">
        <v>475</v>
      </c>
      <c r="C604" s="530" t="s">
        <v>1085</v>
      </c>
      <c r="D604" s="530" t="s">
        <v>1086</v>
      </c>
      <c r="E604" s="530"/>
      <c r="F604" s="389" t="s">
        <v>8</v>
      </c>
      <c r="G604" s="389" t="s">
        <v>265</v>
      </c>
      <c r="H604" s="379">
        <v>1</v>
      </c>
      <c r="I604" s="379">
        <v>10</v>
      </c>
      <c r="J604" s="379">
        <f t="shared" si="43"/>
        <v>1</v>
      </c>
      <c r="K604" s="379">
        <f t="shared" si="44"/>
        <v>10</v>
      </c>
      <c r="L604" s="643">
        <f>IFERROR(IF(B604="funkcna poziadavka",VLOOKUP(G604,MODULY_CBA!$B$3:$E$23,4,0)*H604/SUMIFS($H$3:$H$199,$G$3:$G$199,G604,$B$3:$B$199,B604),),)</f>
        <v>0</v>
      </c>
      <c r="M604" s="379">
        <f>IFERROR(IF(B604="Funkcna poziadavka",VLOOKUP(G604,MODULY_CBA!$B$3:$E$23,3,0),),)</f>
        <v>0.93499999999999994</v>
      </c>
      <c r="N604" s="379">
        <f>IFERROR(IF(B604="funkcna poziadavka",VLOOKUP(G604,MODULY_CBA!$B$3:$E$23,2,0),),)</f>
        <v>1.18</v>
      </c>
      <c r="O604" s="378">
        <f t="shared" si="45"/>
        <v>11.032999999999999</v>
      </c>
      <c r="P604" s="377">
        <f>IFERROR(O604*VLOOKUP(G604,MODULY_CBA!$B$3:$F$23,5,0),)</f>
        <v>330.99</v>
      </c>
      <c r="Q604" s="478" t="str">
        <f>IFERROR(VLOOKUP(G604,MODULY_CBA!$B$3:$I$23,6,0),"")</f>
        <v>Inkrement 5</v>
      </c>
    </row>
    <row r="605" spans="1:17">
      <c r="A605" s="401">
        <v>603</v>
      </c>
      <c r="B605" s="401" t="s">
        <v>475</v>
      </c>
      <c r="C605" s="530" t="s">
        <v>1085</v>
      </c>
      <c r="D605" s="530" t="s">
        <v>1087</v>
      </c>
      <c r="E605" s="530"/>
      <c r="F605" s="389" t="s">
        <v>8</v>
      </c>
      <c r="G605" s="389" t="s">
        <v>265</v>
      </c>
      <c r="H605" s="379">
        <v>1</v>
      </c>
      <c r="I605" s="379">
        <v>10</v>
      </c>
      <c r="J605" s="379">
        <f t="shared" si="43"/>
        <v>1</v>
      </c>
      <c r="K605" s="379">
        <f t="shared" si="44"/>
        <v>10</v>
      </c>
      <c r="L605" s="643">
        <f>IFERROR(IF(B605="funkcna poziadavka",VLOOKUP(G605,MODULY_CBA!$B$3:$E$23,4,0)*H605/SUMIFS($H$3:$H$199,$G$3:$G$199,G605,$B$3:$B$199,B605),),)</f>
        <v>0</v>
      </c>
      <c r="M605" s="379">
        <f>IFERROR(IF(B605="Funkcna poziadavka",VLOOKUP(G605,MODULY_CBA!$B$3:$E$23,3,0),),)</f>
        <v>0.93499999999999994</v>
      </c>
      <c r="N605" s="379">
        <f>IFERROR(IF(B605="funkcna poziadavka",VLOOKUP(G605,MODULY_CBA!$B$3:$E$23,2,0),),)</f>
        <v>1.18</v>
      </c>
      <c r="O605" s="378">
        <f t="shared" si="45"/>
        <v>11.032999999999999</v>
      </c>
      <c r="P605" s="377">
        <f>IFERROR(O605*VLOOKUP(G605,MODULY_CBA!$B$3:$F$23,5,0),)</f>
        <v>330.99</v>
      </c>
      <c r="Q605" s="478" t="str">
        <f>IFERROR(VLOOKUP(G605,MODULY_CBA!$B$3:$I$23,6,0),"")</f>
        <v>Inkrement 5</v>
      </c>
    </row>
    <row r="606" spans="1:17">
      <c r="A606" s="401">
        <v>604</v>
      </c>
      <c r="B606" s="401" t="s">
        <v>475</v>
      </c>
      <c r="C606" s="530" t="s">
        <v>1085</v>
      </c>
      <c r="D606" s="530" t="s">
        <v>1064</v>
      </c>
      <c r="E606" s="530"/>
      <c r="F606" s="389" t="s">
        <v>8</v>
      </c>
      <c r="G606" s="389" t="s">
        <v>265</v>
      </c>
      <c r="H606" s="379">
        <v>1</v>
      </c>
      <c r="I606" s="379">
        <v>10</v>
      </c>
      <c r="J606" s="379">
        <f t="shared" si="43"/>
        <v>1</v>
      </c>
      <c r="K606" s="379">
        <f t="shared" si="44"/>
        <v>10</v>
      </c>
      <c r="L606" s="643">
        <f>IFERROR(IF(B606="funkcna poziadavka",VLOOKUP(G606,MODULY_CBA!$B$3:$E$23,4,0)*H606/SUMIFS($H$3:$H$199,$G$3:$G$199,G606,$B$3:$B$199,B606),),)</f>
        <v>0</v>
      </c>
      <c r="M606" s="379">
        <f>IFERROR(IF(B606="Funkcna poziadavka",VLOOKUP(G606,MODULY_CBA!$B$3:$E$23,3,0),),)</f>
        <v>0.93499999999999994</v>
      </c>
      <c r="N606" s="379">
        <f>IFERROR(IF(B606="funkcna poziadavka",VLOOKUP(G606,MODULY_CBA!$B$3:$E$23,2,0),),)</f>
        <v>1.18</v>
      </c>
      <c r="O606" s="378">
        <f t="shared" si="45"/>
        <v>11.032999999999999</v>
      </c>
      <c r="P606" s="377">
        <f>IFERROR(O606*VLOOKUP(G606,MODULY_CBA!$B$3:$F$23,5,0),)</f>
        <v>330.99</v>
      </c>
      <c r="Q606" s="478" t="str">
        <f>IFERROR(VLOOKUP(G606,MODULY_CBA!$B$3:$I$23,6,0),"")</f>
        <v>Inkrement 5</v>
      </c>
    </row>
    <row r="607" spans="1:17">
      <c r="A607" s="401">
        <v>605</v>
      </c>
      <c r="B607" s="401" t="s">
        <v>475</v>
      </c>
      <c r="C607" s="530" t="s">
        <v>1085</v>
      </c>
      <c r="D607" s="530" t="s">
        <v>1065</v>
      </c>
      <c r="E607" s="530"/>
      <c r="F607" s="389" t="s">
        <v>8</v>
      </c>
      <c r="G607" s="389" t="s">
        <v>265</v>
      </c>
      <c r="H607" s="379">
        <v>1</v>
      </c>
      <c r="I607" s="379">
        <v>10</v>
      </c>
      <c r="J607" s="379">
        <f t="shared" si="43"/>
        <v>1</v>
      </c>
      <c r="K607" s="379">
        <f t="shared" si="44"/>
        <v>10</v>
      </c>
      <c r="L607" s="643">
        <f>IFERROR(IF(B607="funkcna poziadavka",VLOOKUP(G607,MODULY_CBA!$B$3:$E$23,4,0)*H607/SUMIFS($H$3:$H$199,$G$3:$G$199,G607,$B$3:$B$199,B607),),)</f>
        <v>0</v>
      </c>
      <c r="M607" s="379">
        <f>IFERROR(IF(B607="Funkcna poziadavka",VLOOKUP(G607,MODULY_CBA!$B$3:$E$23,3,0),),)</f>
        <v>0.93499999999999994</v>
      </c>
      <c r="N607" s="379">
        <f>IFERROR(IF(B607="funkcna poziadavka",VLOOKUP(G607,MODULY_CBA!$B$3:$E$23,2,0),),)</f>
        <v>1.18</v>
      </c>
      <c r="O607" s="378">
        <f t="shared" si="45"/>
        <v>11.032999999999999</v>
      </c>
      <c r="P607" s="377">
        <f>IFERROR(O607*VLOOKUP(G607,MODULY_CBA!$B$3:$F$23,5,0),)</f>
        <v>330.99</v>
      </c>
      <c r="Q607" s="478" t="str">
        <f>IFERROR(VLOOKUP(G607,MODULY_CBA!$B$3:$I$23,6,0),"")</f>
        <v>Inkrement 5</v>
      </c>
    </row>
    <row r="608" spans="1:17">
      <c r="A608" s="401">
        <v>606</v>
      </c>
      <c r="B608" s="401" t="s">
        <v>475</v>
      </c>
      <c r="C608" s="532" t="s">
        <v>1085</v>
      </c>
      <c r="D608" s="532" t="s">
        <v>1066</v>
      </c>
      <c r="E608" s="532"/>
      <c r="F608" s="389" t="s">
        <v>8</v>
      </c>
      <c r="G608" s="389" t="s">
        <v>265</v>
      </c>
      <c r="H608" s="379">
        <v>1</v>
      </c>
      <c r="I608" s="379">
        <v>10</v>
      </c>
      <c r="J608" s="379">
        <f t="shared" si="43"/>
        <v>1</v>
      </c>
      <c r="K608" s="379">
        <f t="shared" si="44"/>
        <v>10</v>
      </c>
      <c r="L608" s="643">
        <f>IFERROR(IF(B608="funkcna poziadavka",VLOOKUP(G608,MODULY_CBA!$B$3:$E$23,4,0)*H608/SUMIFS($H$3:$H$199,$G$3:$G$199,G608,$B$3:$B$199,B608),),)</f>
        <v>0</v>
      </c>
      <c r="M608" s="379">
        <f>IFERROR(IF(B608="Funkcna poziadavka",VLOOKUP(G608,MODULY_CBA!$B$3:$E$23,3,0),),)</f>
        <v>0.93499999999999994</v>
      </c>
      <c r="N608" s="379">
        <f>IFERROR(IF(B608="funkcna poziadavka",VLOOKUP(G608,MODULY_CBA!$B$3:$E$23,2,0),),)</f>
        <v>1.18</v>
      </c>
      <c r="O608" s="378">
        <f t="shared" si="45"/>
        <v>11.032999999999999</v>
      </c>
      <c r="P608" s="377">
        <f>IFERROR(O608*VLOOKUP(G608,MODULY_CBA!$B$3:$F$23,5,0),)</f>
        <v>330.99</v>
      </c>
      <c r="Q608" s="478" t="str">
        <f>IFERROR(VLOOKUP(G608,MODULY_CBA!$B$3:$I$23,6,0),"")</f>
        <v>Inkrement 5</v>
      </c>
    </row>
    <row r="609" spans="1:17">
      <c r="A609" s="401">
        <v>607</v>
      </c>
      <c r="B609" s="401" t="s">
        <v>475</v>
      </c>
      <c r="C609" s="530" t="s">
        <v>1088</v>
      </c>
      <c r="D609" s="530" t="s">
        <v>1068</v>
      </c>
      <c r="E609" s="389"/>
      <c r="F609" s="389" t="s">
        <v>8</v>
      </c>
      <c r="G609" s="389" t="s">
        <v>265</v>
      </c>
      <c r="H609" s="379">
        <v>1</v>
      </c>
      <c r="I609" s="379">
        <v>10</v>
      </c>
      <c r="J609" s="379">
        <f t="shared" si="43"/>
        <v>1</v>
      </c>
      <c r="K609" s="379">
        <f t="shared" si="44"/>
        <v>10</v>
      </c>
      <c r="L609" s="643">
        <f>IFERROR(IF(B609="funkcna poziadavka",VLOOKUP(G609,MODULY_CBA!$B$3:$E$23,4,0)*H609/SUMIFS($H$3:$H$199,$G$3:$G$199,G609,$B$3:$B$199,B609),),)</f>
        <v>0</v>
      </c>
      <c r="M609" s="379">
        <f>IFERROR(IF(B609="Funkcna poziadavka",VLOOKUP(G609,MODULY_CBA!$B$3:$E$23,3,0),),)</f>
        <v>0.93499999999999994</v>
      </c>
      <c r="N609" s="379">
        <f>IFERROR(IF(B609="funkcna poziadavka",VLOOKUP(G609,MODULY_CBA!$B$3:$E$23,2,0),),)</f>
        <v>1.18</v>
      </c>
      <c r="O609" s="378">
        <f t="shared" si="45"/>
        <v>11.032999999999999</v>
      </c>
      <c r="P609" s="377">
        <f>IFERROR(O609*VLOOKUP(G609,MODULY_CBA!$B$3:$F$23,5,0),)</f>
        <v>330.99</v>
      </c>
      <c r="Q609" s="478" t="str">
        <f>IFERROR(VLOOKUP(G609,MODULY_CBA!$B$3:$I$23,6,0),"")</f>
        <v>Inkrement 5</v>
      </c>
    </row>
    <row r="610" spans="1:17">
      <c r="A610" s="401">
        <v>608</v>
      </c>
      <c r="B610" s="401" t="s">
        <v>475</v>
      </c>
      <c r="C610" s="530" t="s">
        <v>1088</v>
      </c>
      <c r="D610" s="530" t="s">
        <v>1069</v>
      </c>
      <c r="E610" s="389"/>
      <c r="F610" s="389" t="s">
        <v>8</v>
      </c>
      <c r="G610" s="389" t="s">
        <v>265</v>
      </c>
      <c r="H610" s="379">
        <v>1</v>
      </c>
      <c r="I610" s="379">
        <v>10</v>
      </c>
      <c r="J610" s="379">
        <f t="shared" si="43"/>
        <v>1</v>
      </c>
      <c r="K610" s="379">
        <f t="shared" si="44"/>
        <v>10</v>
      </c>
      <c r="L610" s="643">
        <f>IFERROR(IF(B610="funkcna poziadavka",VLOOKUP(G610,MODULY_CBA!$B$3:$E$23,4,0)*H610/SUMIFS($H$3:$H$199,$G$3:$G$199,G610,$B$3:$B$199,B610),),)</f>
        <v>0</v>
      </c>
      <c r="M610" s="379">
        <f>IFERROR(IF(B610="Funkcna poziadavka",VLOOKUP(G610,MODULY_CBA!$B$3:$E$23,3,0),),)</f>
        <v>0.93499999999999994</v>
      </c>
      <c r="N610" s="379">
        <f>IFERROR(IF(B610="funkcna poziadavka",VLOOKUP(G610,MODULY_CBA!$B$3:$E$23,2,0),),)</f>
        <v>1.18</v>
      </c>
      <c r="O610" s="378">
        <f t="shared" si="45"/>
        <v>11.032999999999999</v>
      </c>
      <c r="P610" s="377">
        <f>IFERROR(O610*VLOOKUP(G610,MODULY_CBA!$B$3:$F$23,5,0),)</f>
        <v>330.99</v>
      </c>
      <c r="Q610" s="478" t="str">
        <f>IFERROR(VLOOKUP(G610,MODULY_CBA!$B$3:$I$23,6,0),"")</f>
        <v>Inkrement 5</v>
      </c>
    </row>
    <row r="611" spans="1:17">
      <c r="A611" s="401">
        <v>609</v>
      </c>
      <c r="B611" s="401" t="s">
        <v>475</v>
      </c>
      <c r="C611" s="530" t="s">
        <v>1088</v>
      </c>
      <c r="D611" s="530" t="s">
        <v>1070</v>
      </c>
      <c r="E611" s="389"/>
      <c r="F611" s="389" t="s">
        <v>8</v>
      </c>
      <c r="G611" s="389" t="s">
        <v>265</v>
      </c>
      <c r="H611" s="379">
        <v>1</v>
      </c>
      <c r="I611" s="379">
        <v>10</v>
      </c>
      <c r="J611" s="379">
        <f t="shared" si="43"/>
        <v>1</v>
      </c>
      <c r="K611" s="379">
        <f t="shared" si="44"/>
        <v>10</v>
      </c>
      <c r="L611" s="643">
        <f>IFERROR(IF(B611="funkcna poziadavka",VLOOKUP(G611,MODULY_CBA!$B$3:$E$23,4,0)*H611/SUMIFS($H$3:$H$199,$G$3:$G$199,G611,$B$3:$B$199,B611),),)</f>
        <v>0</v>
      </c>
      <c r="M611" s="379">
        <f>IFERROR(IF(B611="Funkcna poziadavka",VLOOKUP(G611,MODULY_CBA!$B$3:$E$23,3,0),),)</f>
        <v>0.93499999999999994</v>
      </c>
      <c r="N611" s="379">
        <f>IFERROR(IF(B611="funkcna poziadavka",VLOOKUP(G611,MODULY_CBA!$B$3:$E$23,2,0),),)</f>
        <v>1.18</v>
      </c>
      <c r="O611" s="378">
        <f t="shared" si="45"/>
        <v>11.032999999999999</v>
      </c>
      <c r="P611" s="377">
        <f>IFERROR(O611*VLOOKUP(G611,MODULY_CBA!$B$3:$F$23,5,0),)</f>
        <v>330.99</v>
      </c>
      <c r="Q611" s="478" t="str">
        <f>IFERROR(VLOOKUP(G611,MODULY_CBA!$B$3:$I$23,6,0),"")</f>
        <v>Inkrement 5</v>
      </c>
    </row>
    <row r="612" spans="1:17">
      <c r="A612" s="401">
        <v>610</v>
      </c>
      <c r="B612" s="401" t="s">
        <v>475</v>
      </c>
      <c r="C612" s="668" t="s">
        <v>1089</v>
      </c>
      <c r="D612" s="532" t="s">
        <v>1072</v>
      </c>
      <c r="E612" s="389"/>
      <c r="F612" s="389" t="s">
        <v>8</v>
      </c>
      <c r="G612" s="389" t="s">
        <v>265</v>
      </c>
      <c r="H612" s="379">
        <v>1</v>
      </c>
      <c r="I612" s="379">
        <v>10</v>
      </c>
      <c r="J612" s="379">
        <f t="shared" si="43"/>
        <v>1</v>
      </c>
      <c r="K612" s="379">
        <f t="shared" si="44"/>
        <v>10</v>
      </c>
      <c r="L612" s="643">
        <f>IFERROR(IF(B612="funkcna poziadavka",VLOOKUP(G612,MODULY_CBA!$B$3:$E$23,4,0)*H612/SUMIFS($H$3:$H$199,$G$3:$G$199,G612,$B$3:$B$199,B612),),)</f>
        <v>0</v>
      </c>
      <c r="M612" s="379">
        <f>IFERROR(IF(B612="Funkcna poziadavka",VLOOKUP(G612,MODULY_CBA!$B$3:$E$23,3,0),),)</f>
        <v>0.93499999999999994</v>
      </c>
      <c r="N612" s="379">
        <f>IFERROR(IF(B612="funkcna poziadavka",VLOOKUP(G612,MODULY_CBA!$B$3:$E$23,2,0),),)</f>
        <v>1.18</v>
      </c>
      <c r="O612" s="378">
        <f t="shared" si="45"/>
        <v>11.032999999999999</v>
      </c>
      <c r="P612" s="377">
        <f>IFERROR(O612*VLOOKUP(G612,MODULY_CBA!$B$3:$F$23,5,0),)</f>
        <v>330.99</v>
      </c>
      <c r="Q612" s="478" t="str">
        <f>IFERROR(VLOOKUP(G612,MODULY_CBA!$B$3:$I$23,6,0),"")</f>
        <v>Inkrement 5</v>
      </c>
    </row>
    <row r="613" spans="1:17">
      <c r="A613" s="401">
        <v>611</v>
      </c>
      <c r="B613" s="401" t="s">
        <v>475</v>
      </c>
      <c r="C613" s="532" t="s">
        <v>1089</v>
      </c>
      <c r="D613" s="532" t="s">
        <v>1090</v>
      </c>
      <c r="E613" s="532"/>
      <c r="F613" s="389" t="s">
        <v>8</v>
      </c>
      <c r="G613" s="389" t="s">
        <v>265</v>
      </c>
      <c r="H613" s="379">
        <v>1</v>
      </c>
      <c r="I613" s="379">
        <v>10</v>
      </c>
      <c r="J613" s="379">
        <f t="shared" si="43"/>
        <v>1</v>
      </c>
      <c r="K613" s="379">
        <f t="shared" si="44"/>
        <v>10</v>
      </c>
      <c r="L613" s="643">
        <f>IFERROR(IF(B613="funkcna poziadavka",VLOOKUP(G613,MODULY_CBA!$B$3:$E$23,4,0)*H613/SUMIFS($H$3:$H$199,$G$3:$G$199,G613,$B$3:$B$199,B613),),)</f>
        <v>0</v>
      </c>
      <c r="M613" s="379">
        <f>IFERROR(IF(B613="Funkcna poziadavka",VLOOKUP(G613,MODULY_CBA!$B$3:$E$23,3,0),),)</f>
        <v>0.93499999999999994</v>
      </c>
      <c r="N613" s="379">
        <f>IFERROR(IF(B613="funkcna poziadavka",VLOOKUP(G613,MODULY_CBA!$B$3:$E$23,2,0),),)</f>
        <v>1.18</v>
      </c>
      <c r="O613" s="378">
        <f t="shared" si="45"/>
        <v>11.032999999999999</v>
      </c>
      <c r="P613" s="377">
        <f>IFERROR(O613*VLOOKUP(G613,MODULY_CBA!$B$3:$F$23,5,0),)</f>
        <v>330.99</v>
      </c>
      <c r="Q613" s="478" t="str">
        <f>IFERROR(VLOOKUP(G613,MODULY_CBA!$B$3:$I$23,6,0),"")</f>
        <v>Inkrement 5</v>
      </c>
    </row>
    <row r="614" spans="1:17">
      <c r="A614" s="401">
        <v>612</v>
      </c>
      <c r="B614" s="401" t="s">
        <v>475</v>
      </c>
      <c r="C614" s="532" t="s">
        <v>1091</v>
      </c>
      <c r="D614" s="532" t="s">
        <v>1075</v>
      </c>
      <c r="E614" s="389"/>
      <c r="F614" s="389" t="s">
        <v>8</v>
      </c>
      <c r="G614" s="389" t="s">
        <v>265</v>
      </c>
      <c r="H614" s="379">
        <v>1</v>
      </c>
      <c r="I614" s="379">
        <v>10</v>
      </c>
      <c r="J614" s="379">
        <f t="shared" si="43"/>
        <v>1</v>
      </c>
      <c r="K614" s="379">
        <f t="shared" si="44"/>
        <v>10</v>
      </c>
      <c r="L614" s="643">
        <f>IFERROR(IF(B614="funkcna poziadavka",VLOOKUP(G614,MODULY_CBA!$B$3:$E$23,4,0)*H614/SUMIFS($H$3:$H$199,$G$3:$G$199,G614,$B$3:$B$199,B614),),)</f>
        <v>0</v>
      </c>
      <c r="M614" s="379">
        <f>IFERROR(IF(B614="Funkcna poziadavka",VLOOKUP(G614,MODULY_CBA!$B$3:$E$23,3,0),),)</f>
        <v>0.93499999999999994</v>
      </c>
      <c r="N614" s="379">
        <f>IFERROR(IF(B614="funkcna poziadavka",VLOOKUP(G614,MODULY_CBA!$B$3:$E$23,2,0),),)</f>
        <v>1.18</v>
      </c>
      <c r="O614" s="378">
        <f t="shared" si="45"/>
        <v>11.032999999999999</v>
      </c>
      <c r="P614" s="377">
        <f>IFERROR(O614*VLOOKUP(G614,MODULY_CBA!$B$3:$F$23,5,0),)</f>
        <v>330.99</v>
      </c>
      <c r="Q614" s="478" t="str">
        <f>IFERROR(VLOOKUP(G614,MODULY_CBA!$B$3:$I$23,6,0),"")</f>
        <v>Inkrement 5</v>
      </c>
    </row>
    <row r="615" spans="1:17">
      <c r="A615" s="401">
        <v>613</v>
      </c>
      <c r="B615" s="401" t="s">
        <v>475</v>
      </c>
      <c r="C615" s="532" t="s">
        <v>1091</v>
      </c>
      <c r="D615" s="532" t="s">
        <v>1076</v>
      </c>
      <c r="E615" s="389"/>
      <c r="F615" s="389" t="s">
        <v>8</v>
      </c>
      <c r="G615" s="389" t="s">
        <v>265</v>
      </c>
      <c r="H615" s="379">
        <v>1</v>
      </c>
      <c r="I615" s="379">
        <v>10</v>
      </c>
      <c r="J615" s="379">
        <f t="shared" si="43"/>
        <v>1</v>
      </c>
      <c r="K615" s="379">
        <f t="shared" si="44"/>
        <v>10</v>
      </c>
      <c r="L615" s="643">
        <f>IFERROR(IF(B615="funkcna poziadavka",VLOOKUP(G615,MODULY_CBA!$B$3:$E$23,4,0)*H615/SUMIFS($H$3:$H$199,$G$3:$G$199,G615,$B$3:$B$199,B615),),)</f>
        <v>0</v>
      </c>
      <c r="M615" s="379">
        <f>IFERROR(IF(B615="Funkcna poziadavka",VLOOKUP(G615,MODULY_CBA!$B$3:$E$23,3,0),),)</f>
        <v>0.93499999999999994</v>
      </c>
      <c r="N615" s="379">
        <f>IFERROR(IF(B615="funkcna poziadavka",VLOOKUP(G615,MODULY_CBA!$B$3:$E$23,2,0),),)</f>
        <v>1.18</v>
      </c>
      <c r="O615" s="378">
        <f t="shared" si="45"/>
        <v>11.032999999999999</v>
      </c>
      <c r="P615" s="377">
        <f>IFERROR(O615*VLOOKUP(G615,MODULY_CBA!$B$3:$F$23,5,0),)</f>
        <v>330.99</v>
      </c>
      <c r="Q615" s="478" t="str">
        <f>IFERROR(VLOOKUP(G615,MODULY_CBA!$B$3:$I$23,6,0),"")</f>
        <v>Inkrement 5</v>
      </c>
    </row>
    <row r="616" spans="1:17" ht="25.5">
      <c r="A616" s="401">
        <v>614</v>
      </c>
      <c r="B616" s="401" t="s">
        <v>475</v>
      </c>
      <c r="C616" s="530" t="s">
        <v>1092</v>
      </c>
      <c r="D616" s="530" t="s">
        <v>1046</v>
      </c>
      <c r="E616" s="389"/>
      <c r="F616" s="389" t="s">
        <v>8</v>
      </c>
      <c r="G616" s="389" t="s">
        <v>265</v>
      </c>
      <c r="H616" s="379">
        <v>1</v>
      </c>
      <c r="I616" s="379">
        <v>5</v>
      </c>
      <c r="J616" s="379">
        <f t="shared" si="43"/>
        <v>1</v>
      </c>
      <c r="K616" s="379">
        <f t="shared" si="44"/>
        <v>5</v>
      </c>
      <c r="L616" s="643">
        <f>IFERROR(IF(B616="funkcna poziadavka",VLOOKUP(G616,MODULY_CBA!$B$3:$E$23,4,0)*H616/SUMIFS($H$3:$H$199,$G$3:$G$199,G616,$B$3:$B$199,B616),),)</f>
        <v>0</v>
      </c>
      <c r="M616" s="379">
        <f>IFERROR(IF(B616="Funkcna poziadavka",VLOOKUP(G616,MODULY_CBA!$B$3:$E$23,3,0),),)</f>
        <v>0.93499999999999994</v>
      </c>
      <c r="N616" s="379">
        <f>IFERROR(IF(B616="funkcna poziadavka",VLOOKUP(G616,MODULY_CBA!$B$3:$E$23,2,0),),)</f>
        <v>1.18</v>
      </c>
      <c r="O616" s="378">
        <f t="shared" si="45"/>
        <v>5.5164999999999997</v>
      </c>
      <c r="P616" s="377">
        <f>IFERROR(O616*VLOOKUP(G616,MODULY_CBA!$B$3:$F$23,5,0),)</f>
        <v>165.495</v>
      </c>
      <c r="Q616" s="478" t="str">
        <f>IFERROR(VLOOKUP(G616,MODULY_CBA!$B$3:$I$23,6,0),"")</f>
        <v>Inkrement 5</v>
      </c>
    </row>
    <row r="617" spans="1:17" ht="25.5">
      <c r="A617" s="401">
        <v>615</v>
      </c>
      <c r="B617" s="401" t="s">
        <v>475</v>
      </c>
      <c r="C617" s="389" t="s">
        <v>1092</v>
      </c>
      <c r="D617" s="530" t="s">
        <v>1047</v>
      </c>
      <c r="E617" s="389"/>
      <c r="F617" s="389" t="s">
        <v>8</v>
      </c>
      <c r="G617" s="389" t="s">
        <v>265</v>
      </c>
      <c r="H617" s="379">
        <v>1</v>
      </c>
      <c r="I617" s="379">
        <v>5</v>
      </c>
      <c r="J617" s="379">
        <f t="shared" si="43"/>
        <v>1</v>
      </c>
      <c r="K617" s="379">
        <f t="shared" si="44"/>
        <v>5</v>
      </c>
      <c r="L617" s="643">
        <f>IFERROR(IF(B617="funkcna poziadavka",VLOOKUP(G617,MODULY_CBA!$B$3:$E$23,4,0)*H617/SUMIFS($H$3:$H$199,$G$3:$G$199,G617,$B$3:$B$199,B617),),)</f>
        <v>0</v>
      </c>
      <c r="M617" s="379">
        <f>IFERROR(IF(B617="Funkcna poziadavka",VLOOKUP(G617,MODULY_CBA!$B$3:$E$23,3,0),),)</f>
        <v>0.93499999999999994</v>
      </c>
      <c r="N617" s="379">
        <f>IFERROR(IF(B617="funkcna poziadavka",VLOOKUP(G617,MODULY_CBA!$B$3:$E$23,2,0),),)</f>
        <v>1.18</v>
      </c>
      <c r="O617" s="378">
        <f t="shared" si="45"/>
        <v>5.5164999999999997</v>
      </c>
      <c r="P617" s="377">
        <f>IFERROR(O617*VLOOKUP(G617,MODULY_CBA!$B$3:$F$23,5,0),)</f>
        <v>165.495</v>
      </c>
      <c r="Q617" s="478" t="str">
        <f>IFERROR(VLOOKUP(G617,MODULY_CBA!$B$3:$I$23,6,0),"")</f>
        <v>Inkrement 5</v>
      </c>
    </row>
    <row r="618" spans="1:17" ht="25.5">
      <c r="A618" s="401">
        <v>616</v>
      </c>
      <c r="B618" s="401" t="s">
        <v>475</v>
      </c>
      <c r="C618" s="530" t="s">
        <v>1092</v>
      </c>
      <c r="D618" s="530" t="s">
        <v>1048</v>
      </c>
      <c r="E618" s="389"/>
      <c r="F618" s="389" t="s">
        <v>8</v>
      </c>
      <c r="G618" s="389" t="s">
        <v>265</v>
      </c>
      <c r="H618" s="379">
        <v>1</v>
      </c>
      <c r="I618" s="379">
        <v>5</v>
      </c>
      <c r="J618" s="379">
        <f t="shared" si="43"/>
        <v>1</v>
      </c>
      <c r="K618" s="379">
        <f t="shared" si="44"/>
        <v>5</v>
      </c>
      <c r="L618" s="643">
        <f>IFERROR(IF(B618="funkcna poziadavka",VLOOKUP(G618,MODULY_CBA!$B$3:$E$23,4,0)*H618/SUMIFS($H$3:$H$199,$G$3:$G$199,G618,$B$3:$B$199,B618),),)</f>
        <v>0</v>
      </c>
      <c r="M618" s="379">
        <f>IFERROR(IF(B618="Funkcna poziadavka",VLOOKUP(G618,MODULY_CBA!$B$3:$E$23,3,0),),)</f>
        <v>0.93499999999999994</v>
      </c>
      <c r="N618" s="379">
        <f>IFERROR(IF(B618="funkcna poziadavka",VLOOKUP(G618,MODULY_CBA!$B$3:$E$23,2,0),),)</f>
        <v>1.18</v>
      </c>
      <c r="O618" s="378">
        <f t="shared" si="45"/>
        <v>5.5164999999999997</v>
      </c>
      <c r="P618" s="377">
        <f>IFERROR(O618*VLOOKUP(G618,MODULY_CBA!$B$3:$F$23,5,0),)</f>
        <v>165.495</v>
      </c>
      <c r="Q618" s="478" t="str">
        <f>IFERROR(VLOOKUP(G618,MODULY_CBA!$B$3:$I$23,6,0),"")</f>
        <v>Inkrement 5</v>
      </c>
    </row>
    <row r="619" spans="1:17" ht="25.5">
      <c r="A619" s="401">
        <v>617</v>
      </c>
      <c r="B619" s="401" t="s">
        <v>475</v>
      </c>
      <c r="C619" s="530" t="s">
        <v>1092</v>
      </c>
      <c r="D619" s="530" t="s">
        <v>1049</v>
      </c>
      <c r="E619" s="389"/>
      <c r="F619" s="389" t="s">
        <v>8</v>
      </c>
      <c r="G619" s="389" t="s">
        <v>265</v>
      </c>
      <c r="H619" s="379">
        <v>1</v>
      </c>
      <c r="I619" s="379">
        <v>5</v>
      </c>
      <c r="J619" s="379">
        <f t="shared" si="43"/>
        <v>1</v>
      </c>
      <c r="K619" s="379">
        <f t="shared" si="44"/>
        <v>5</v>
      </c>
      <c r="L619" s="643">
        <f>IFERROR(IF(B619="funkcna poziadavka",VLOOKUP(G619,MODULY_CBA!$B$3:$E$23,4,0)*H619/SUMIFS($H$3:$H$199,$G$3:$G$199,G619,$B$3:$B$199,B619),),)</f>
        <v>0</v>
      </c>
      <c r="M619" s="379">
        <f>IFERROR(IF(B619="Funkcna poziadavka",VLOOKUP(G619,MODULY_CBA!$B$3:$E$23,3,0),),)</f>
        <v>0.93499999999999994</v>
      </c>
      <c r="N619" s="379">
        <f>IFERROR(IF(B619="funkcna poziadavka",VLOOKUP(G619,MODULY_CBA!$B$3:$E$23,2,0),),)</f>
        <v>1.18</v>
      </c>
      <c r="O619" s="378">
        <f t="shared" si="45"/>
        <v>5.5164999999999997</v>
      </c>
      <c r="P619" s="377">
        <f>IFERROR(O619*VLOOKUP(G619,MODULY_CBA!$B$3:$F$23,5,0),)</f>
        <v>165.495</v>
      </c>
      <c r="Q619" s="478" t="str">
        <f>IFERROR(VLOOKUP(G619,MODULY_CBA!$B$3:$I$23,6,0),"")</f>
        <v>Inkrement 5</v>
      </c>
    </row>
    <row r="620" spans="1:17" ht="25.5">
      <c r="A620" s="401">
        <v>618</v>
      </c>
      <c r="B620" s="401" t="s">
        <v>475</v>
      </c>
      <c r="C620" s="530" t="s">
        <v>1092</v>
      </c>
      <c r="D620" s="530" t="s">
        <v>1050</v>
      </c>
      <c r="E620" s="389"/>
      <c r="F620" s="389" t="s">
        <v>8</v>
      </c>
      <c r="G620" s="389" t="s">
        <v>265</v>
      </c>
      <c r="H620" s="379">
        <v>1</v>
      </c>
      <c r="I620" s="379">
        <v>5</v>
      </c>
      <c r="J620" s="379">
        <f t="shared" si="43"/>
        <v>1</v>
      </c>
      <c r="K620" s="379">
        <f t="shared" si="44"/>
        <v>5</v>
      </c>
      <c r="L620" s="643">
        <f>IFERROR(IF(B620="funkcna poziadavka",VLOOKUP(G620,MODULY_CBA!$B$3:$E$23,4,0)*H620/SUMIFS($H$3:$H$199,$G$3:$G$199,G620,$B$3:$B$199,B620),),)</f>
        <v>0</v>
      </c>
      <c r="M620" s="379">
        <f>IFERROR(IF(B620="Funkcna poziadavka",VLOOKUP(G620,MODULY_CBA!$B$3:$E$23,3,0),),)</f>
        <v>0.93499999999999994</v>
      </c>
      <c r="N620" s="379">
        <f>IFERROR(IF(B620="funkcna poziadavka",VLOOKUP(G620,MODULY_CBA!$B$3:$E$23,2,0),),)</f>
        <v>1.18</v>
      </c>
      <c r="O620" s="378">
        <f t="shared" si="45"/>
        <v>5.5164999999999997</v>
      </c>
      <c r="P620" s="377">
        <f>IFERROR(O620*VLOOKUP(G620,MODULY_CBA!$B$3:$F$23,5,0),)</f>
        <v>165.495</v>
      </c>
      <c r="Q620" s="478" t="str">
        <f>IFERROR(VLOOKUP(G620,MODULY_CBA!$B$3:$I$23,6,0),"")</f>
        <v>Inkrement 5</v>
      </c>
    </row>
    <row r="621" spans="1:17" ht="25.5">
      <c r="A621" s="401">
        <v>619</v>
      </c>
      <c r="B621" s="401" t="s">
        <v>475</v>
      </c>
      <c r="C621" s="530" t="s">
        <v>1092</v>
      </c>
      <c r="D621" s="530" t="s">
        <v>1051</v>
      </c>
      <c r="E621" s="389"/>
      <c r="F621" s="389" t="s">
        <v>8</v>
      </c>
      <c r="G621" s="389" t="s">
        <v>265</v>
      </c>
      <c r="H621" s="379">
        <v>1</v>
      </c>
      <c r="I621" s="379">
        <v>5</v>
      </c>
      <c r="J621" s="379">
        <f t="shared" si="43"/>
        <v>1</v>
      </c>
      <c r="K621" s="379">
        <f t="shared" si="44"/>
        <v>5</v>
      </c>
      <c r="L621" s="643">
        <f>IFERROR(IF(B621="funkcna poziadavka",VLOOKUP(G621,MODULY_CBA!$B$3:$E$23,4,0)*H621/SUMIFS($H$3:$H$199,$G$3:$G$199,G621,$B$3:$B$199,B621),),)</f>
        <v>0</v>
      </c>
      <c r="M621" s="379">
        <f>IFERROR(IF(B621="Funkcna poziadavka",VLOOKUP(G621,MODULY_CBA!$B$3:$E$23,3,0),),)</f>
        <v>0.93499999999999994</v>
      </c>
      <c r="N621" s="379">
        <f>IFERROR(IF(B621="funkcna poziadavka",VLOOKUP(G621,MODULY_CBA!$B$3:$E$23,2,0),),)</f>
        <v>1.18</v>
      </c>
      <c r="O621" s="378">
        <f t="shared" si="45"/>
        <v>5.5164999999999997</v>
      </c>
      <c r="P621" s="377">
        <f>IFERROR(O621*VLOOKUP(G621,MODULY_CBA!$B$3:$F$23,5,0),)</f>
        <v>165.495</v>
      </c>
      <c r="Q621" s="478" t="str">
        <f>IFERROR(VLOOKUP(G621,MODULY_CBA!$B$3:$I$23,6,0),"")</f>
        <v>Inkrement 5</v>
      </c>
    </row>
    <row r="622" spans="1:17" ht="25.5">
      <c r="A622" s="401">
        <v>620</v>
      </c>
      <c r="B622" s="401" t="s">
        <v>475</v>
      </c>
      <c r="C622" s="389" t="s">
        <v>1092</v>
      </c>
      <c r="D622" s="530" t="s">
        <v>1052</v>
      </c>
      <c r="E622" s="530"/>
      <c r="F622" s="389" t="s">
        <v>8</v>
      </c>
      <c r="G622" s="389" t="s">
        <v>265</v>
      </c>
      <c r="H622" s="379">
        <v>1</v>
      </c>
      <c r="I622" s="379">
        <v>5</v>
      </c>
      <c r="J622" s="379">
        <f t="shared" si="43"/>
        <v>1</v>
      </c>
      <c r="K622" s="379">
        <f t="shared" si="44"/>
        <v>5</v>
      </c>
      <c r="L622" s="643">
        <f>IFERROR(IF(B622="funkcna poziadavka",VLOOKUP(G622,MODULY_CBA!$B$3:$E$23,4,0)*H622/SUMIFS($H$3:$H$199,$G$3:$G$199,G622,$B$3:$B$199,B622),),)</f>
        <v>0</v>
      </c>
      <c r="M622" s="379">
        <f>IFERROR(IF(B622="Funkcna poziadavka",VLOOKUP(G622,MODULY_CBA!$B$3:$E$23,3,0),),)</f>
        <v>0.93499999999999994</v>
      </c>
      <c r="N622" s="379">
        <f>IFERROR(IF(B622="funkcna poziadavka",VLOOKUP(G622,MODULY_CBA!$B$3:$E$23,2,0),),)</f>
        <v>1.18</v>
      </c>
      <c r="O622" s="378">
        <f t="shared" si="45"/>
        <v>5.5164999999999997</v>
      </c>
      <c r="P622" s="377">
        <f>IFERROR(O622*VLOOKUP(G622,MODULY_CBA!$B$3:$F$23,5,0),)</f>
        <v>165.495</v>
      </c>
      <c r="Q622" s="478" t="str">
        <f>IFERROR(VLOOKUP(G622,MODULY_CBA!$B$3:$I$23,6,0),"")</f>
        <v>Inkrement 5</v>
      </c>
    </row>
    <row r="623" spans="1:17" ht="25.5">
      <c r="A623" s="401">
        <v>621</v>
      </c>
      <c r="B623" s="401" t="s">
        <v>475</v>
      </c>
      <c r="C623" s="530" t="s">
        <v>1092</v>
      </c>
      <c r="D623" s="530" t="s">
        <v>1082</v>
      </c>
      <c r="E623" s="530"/>
      <c r="F623" s="389" t="s">
        <v>8</v>
      </c>
      <c r="G623" s="389" t="s">
        <v>265</v>
      </c>
      <c r="H623" s="379">
        <v>1</v>
      </c>
      <c r="I623" s="379">
        <v>5</v>
      </c>
      <c r="J623" s="379">
        <f t="shared" si="43"/>
        <v>1</v>
      </c>
      <c r="K623" s="379">
        <f t="shared" si="44"/>
        <v>5</v>
      </c>
      <c r="L623" s="643">
        <f>IFERROR(IF(B623="funkcna poziadavka",VLOOKUP(G623,MODULY_CBA!$B$3:$E$23,4,0)*H623/SUMIFS($H$3:$H$199,$G$3:$G$199,G623,$B$3:$B$199,B623),),)</f>
        <v>0</v>
      </c>
      <c r="M623" s="379">
        <f>IFERROR(IF(B623="Funkcna poziadavka",VLOOKUP(G623,MODULY_CBA!$B$3:$E$23,3,0),),)</f>
        <v>0.93499999999999994</v>
      </c>
      <c r="N623" s="379">
        <f>IFERROR(IF(B623="funkcna poziadavka",VLOOKUP(G623,MODULY_CBA!$B$3:$E$23,2,0),),)</f>
        <v>1.18</v>
      </c>
      <c r="O623" s="378">
        <f t="shared" si="45"/>
        <v>5.5164999999999997</v>
      </c>
      <c r="P623" s="377">
        <f>IFERROR(O623*VLOOKUP(G623,MODULY_CBA!$B$3:$F$23,5,0),)</f>
        <v>165.495</v>
      </c>
      <c r="Q623" s="478" t="str">
        <f>IFERROR(VLOOKUP(G623,MODULY_CBA!$B$3:$I$23,6,0),"")</f>
        <v>Inkrement 5</v>
      </c>
    </row>
    <row r="624" spans="1:17" ht="25.5">
      <c r="A624" s="401">
        <v>622</v>
      </c>
      <c r="B624" s="401" t="s">
        <v>475</v>
      </c>
      <c r="C624" s="530" t="s">
        <v>1092</v>
      </c>
      <c r="D624" s="530" t="s">
        <v>1083</v>
      </c>
      <c r="E624" s="530"/>
      <c r="F624" s="389" t="s">
        <v>8</v>
      </c>
      <c r="G624" s="389" t="s">
        <v>265</v>
      </c>
      <c r="H624" s="379">
        <v>1</v>
      </c>
      <c r="I624" s="379">
        <v>5</v>
      </c>
      <c r="J624" s="379">
        <f t="shared" si="43"/>
        <v>1</v>
      </c>
      <c r="K624" s="379">
        <f t="shared" si="44"/>
        <v>5</v>
      </c>
      <c r="L624" s="643">
        <f>IFERROR(IF(B624="funkcna poziadavka",VLOOKUP(G624,MODULY_CBA!$B$3:$E$23,4,0)*H624/SUMIFS($H$3:$H$199,$G$3:$G$199,G624,$B$3:$B$199,B624),),)</f>
        <v>0</v>
      </c>
      <c r="M624" s="379">
        <f>IFERROR(IF(B624="Funkcna poziadavka",VLOOKUP(G624,MODULY_CBA!$B$3:$E$23,3,0),),)</f>
        <v>0.93499999999999994</v>
      </c>
      <c r="N624" s="379">
        <f>IFERROR(IF(B624="funkcna poziadavka",VLOOKUP(G624,MODULY_CBA!$B$3:$E$23,2,0),),)</f>
        <v>1.18</v>
      </c>
      <c r="O624" s="378">
        <f t="shared" si="45"/>
        <v>5.5164999999999997</v>
      </c>
      <c r="P624" s="377">
        <f>IFERROR(O624*VLOOKUP(G624,MODULY_CBA!$B$3:$F$23,5,0),)</f>
        <v>165.495</v>
      </c>
      <c r="Q624" s="478" t="str">
        <f>IFERROR(VLOOKUP(G624,MODULY_CBA!$B$3:$I$23,6,0),"")</f>
        <v>Inkrement 5</v>
      </c>
    </row>
    <row r="625" spans="1:17" ht="25.5">
      <c r="A625" s="401">
        <v>623</v>
      </c>
      <c r="B625" s="401" t="s">
        <v>475</v>
      </c>
      <c r="C625" s="530" t="s">
        <v>1092</v>
      </c>
      <c r="D625" s="530" t="s">
        <v>1055</v>
      </c>
      <c r="E625" s="530"/>
      <c r="F625" s="389" t="s">
        <v>8</v>
      </c>
      <c r="G625" s="389" t="s">
        <v>265</v>
      </c>
      <c r="H625" s="379">
        <v>1</v>
      </c>
      <c r="I625" s="379">
        <v>5</v>
      </c>
      <c r="J625" s="379">
        <f t="shared" si="43"/>
        <v>1</v>
      </c>
      <c r="K625" s="379">
        <f t="shared" si="44"/>
        <v>5</v>
      </c>
      <c r="L625" s="643">
        <f>IFERROR(IF(B625="funkcna poziadavka",VLOOKUP(G625,MODULY_CBA!$B$3:$E$23,4,0)*H625/SUMIFS($H$3:$H$199,$G$3:$G$199,G625,$B$3:$B$199,B625),),)</f>
        <v>0</v>
      </c>
      <c r="M625" s="379">
        <f>IFERROR(IF(B625="Funkcna poziadavka",VLOOKUP(G625,MODULY_CBA!$B$3:$E$23,3,0),),)</f>
        <v>0.93499999999999994</v>
      </c>
      <c r="N625" s="379">
        <f>IFERROR(IF(B625="funkcna poziadavka",VLOOKUP(G625,MODULY_CBA!$B$3:$E$23,2,0),),)</f>
        <v>1.18</v>
      </c>
      <c r="O625" s="378">
        <f t="shared" si="45"/>
        <v>5.5164999999999997</v>
      </c>
      <c r="P625" s="377">
        <f>IFERROR(O625*VLOOKUP(G625,MODULY_CBA!$B$3:$F$23,5,0),)</f>
        <v>165.495</v>
      </c>
      <c r="Q625" s="478" t="str">
        <f>IFERROR(VLOOKUP(G625,MODULY_CBA!$B$3:$I$23,6,0),"")</f>
        <v>Inkrement 5</v>
      </c>
    </row>
    <row r="626" spans="1:17" ht="25.5">
      <c r="A626" s="401">
        <v>624</v>
      </c>
      <c r="B626" s="401" t="s">
        <v>475</v>
      </c>
      <c r="C626" s="530" t="s">
        <v>1093</v>
      </c>
      <c r="D626" s="530" t="s">
        <v>1057</v>
      </c>
      <c r="E626" s="530"/>
      <c r="F626" s="389" t="s">
        <v>8</v>
      </c>
      <c r="G626" s="389" t="s">
        <v>265</v>
      </c>
      <c r="H626" s="379">
        <v>1</v>
      </c>
      <c r="I626" s="379">
        <v>5</v>
      </c>
      <c r="J626" s="379">
        <f t="shared" si="43"/>
        <v>1</v>
      </c>
      <c r="K626" s="379">
        <f t="shared" si="44"/>
        <v>5</v>
      </c>
      <c r="L626" s="643">
        <f>IFERROR(IF(B626="funkcna poziadavka",VLOOKUP(G626,MODULY_CBA!$B$3:$E$23,4,0)*H626/SUMIFS($H$3:$H$199,$G$3:$G$199,G626,$B$3:$B$199,B626),),)</f>
        <v>0</v>
      </c>
      <c r="M626" s="379">
        <f>IFERROR(IF(B626="Funkcna poziadavka",VLOOKUP(G626,MODULY_CBA!$B$3:$E$23,3,0),),)</f>
        <v>0.93499999999999994</v>
      </c>
      <c r="N626" s="379">
        <f>IFERROR(IF(B626="funkcna poziadavka",VLOOKUP(G626,MODULY_CBA!$B$3:$E$23,2,0),),)</f>
        <v>1.18</v>
      </c>
      <c r="O626" s="378">
        <f t="shared" si="45"/>
        <v>5.5164999999999997</v>
      </c>
      <c r="P626" s="377">
        <f>IFERROR(O626*VLOOKUP(G626,MODULY_CBA!$B$3:$F$23,5,0),)</f>
        <v>165.495</v>
      </c>
      <c r="Q626" s="478" t="str">
        <f>IFERROR(VLOOKUP(G626,MODULY_CBA!$B$3:$I$23,6,0),"")</f>
        <v>Inkrement 5</v>
      </c>
    </row>
    <row r="627" spans="1:17" ht="25.5">
      <c r="A627" s="401">
        <v>625</v>
      </c>
      <c r="B627" s="401" t="s">
        <v>475</v>
      </c>
      <c r="C627" s="530" t="s">
        <v>1093</v>
      </c>
      <c r="D627" s="530" t="s">
        <v>1058</v>
      </c>
      <c r="E627" s="530"/>
      <c r="F627" s="389" t="s">
        <v>8</v>
      </c>
      <c r="G627" s="389" t="s">
        <v>265</v>
      </c>
      <c r="H627" s="379">
        <v>1</v>
      </c>
      <c r="I627" s="379">
        <v>5</v>
      </c>
      <c r="J627" s="379">
        <f t="shared" si="43"/>
        <v>1</v>
      </c>
      <c r="K627" s="379">
        <f t="shared" si="44"/>
        <v>5</v>
      </c>
      <c r="L627" s="643">
        <f>IFERROR(IF(B627="funkcna poziadavka",VLOOKUP(G627,MODULY_CBA!$B$3:$E$23,4,0)*H627/SUMIFS($H$3:$H$199,$G$3:$G$199,G627,$B$3:$B$199,B627),),)</f>
        <v>0</v>
      </c>
      <c r="M627" s="379">
        <f>IFERROR(IF(B627="Funkcna poziadavka",VLOOKUP(G627,MODULY_CBA!$B$3:$E$23,3,0),),)</f>
        <v>0.93499999999999994</v>
      </c>
      <c r="N627" s="379">
        <f>IFERROR(IF(B627="funkcna poziadavka",VLOOKUP(G627,MODULY_CBA!$B$3:$E$23,2,0),),)</f>
        <v>1.18</v>
      </c>
      <c r="O627" s="378">
        <f t="shared" si="45"/>
        <v>5.5164999999999997</v>
      </c>
      <c r="P627" s="377">
        <f>IFERROR(O627*VLOOKUP(G627,MODULY_CBA!$B$3:$F$23,5,0),)</f>
        <v>165.495</v>
      </c>
      <c r="Q627" s="478" t="str">
        <f>IFERROR(VLOOKUP(G627,MODULY_CBA!$B$3:$I$23,6,0),"")</f>
        <v>Inkrement 5</v>
      </c>
    </row>
    <row r="628" spans="1:17" ht="25.5">
      <c r="A628" s="401">
        <v>626</v>
      </c>
      <c r="B628" s="401" t="s">
        <v>475</v>
      </c>
      <c r="C628" s="530" t="s">
        <v>1093</v>
      </c>
      <c r="D628" s="530" t="s">
        <v>1059</v>
      </c>
      <c r="E628" s="530"/>
      <c r="F628" s="389" t="s">
        <v>8</v>
      </c>
      <c r="G628" s="389" t="s">
        <v>265</v>
      </c>
      <c r="H628" s="379">
        <v>1</v>
      </c>
      <c r="I628" s="379">
        <v>5</v>
      </c>
      <c r="J628" s="379">
        <f t="shared" si="43"/>
        <v>1</v>
      </c>
      <c r="K628" s="379">
        <f t="shared" si="44"/>
        <v>5</v>
      </c>
      <c r="L628" s="643">
        <f>IFERROR(IF(B628="funkcna poziadavka",VLOOKUP(G628,MODULY_CBA!$B$3:$E$23,4,0)*H628/SUMIFS($H$3:$H$199,$G$3:$G$199,G628,$B$3:$B$199,B628),),)</f>
        <v>0</v>
      </c>
      <c r="M628" s="379">
        <f>IFERROR(IF(B628="Funkcna poziadavka",VLOOKUP(G628,MODULY_CBA!$B$3:$E$23,3,0),),)</f>
        <v>0.93499999999999994</v>
      </c>
      <c r="N628" s="379">
        <f>IFERROR(IF(B628="funkcna poziadavka",VLOOKUP(G628,MODULY_CBA!$B$3:$E$23,2,0),),)</f>
        <v>1.18</v>
      </c>
      <c r="O628" s="378">
        <f t="shared" si="45"/>
        <v>5.5164999999999997</v>
      </c>
      <c r="P628" s="377">
        <f>IFERROR(O628*VLOOKUP(G628,MODULY_CBA!$B$3:$F$23,5,0),)</f>
        <v>165.495</v>
      </c>
      <c r="Q628" s="478" t="str">
        <f>IFERROR(VLOOKUP(G628,MODULY_CBA!$B$3:$I$23,6,0),"")</f>
        <v>Inkrement 5</v>
      </c>
    </row>
    <row r="629" spans="1:17" ht="25.5">
      <c r="A629" s="401">
        <v>627</v>
      </c>
      <c r="B629" s="401" t="s">
        <v>475</v>
      </c>
      <c r="C629" s="389" t="s">
        <v>1094</v>
      </c>
      <c r="D629" s="532" t="s">
        <v>1061</v>
      </c>
      <c r="E629" s="532"/>
      <c r="F629" s="389" t="s">
        <v>8</v>
      </c>
      <c r="G629" s="389" t="s">
        <v>265</v>
      </c>
      <c r="H629" s="379">
        <v>1</v>
      </c>
      <c r="I629" s="379">
        <v>5</v>
      </c>
      <c r="J629" s="379">
        <f t="shared" si="43"/>
        <v>1</v>
      </c>
      <c r="K629" s="379">
        <f t="shared" si="44"/>
        <v>5</v>
      </c>
      <c r="L629" s="643">
        <f>IFERROR(IF(B629="funkcna poziadavka",VLOOKUP(G629,MODULY_CBA!$B$3:$E$23,4,0)*H629/SUMIFS($H$3:$H$199,$G$3:$G$199,G629,$B$3:$B$199,B629),),)</f>
        <v>0</v>
      </c>
      <c r="M629" s="379">
        <f>IFERROR(IF(B629="Funkcna poziadavka",VLOOKUP(G629,MODULY_CBA!$B$3:$E$23,3,0),),)</f>
        <v>0.93499999999999994</v>
      </c>
      <c r="N629" s="379">
        <f>IFERROR(IF(B629="funkcna poziadavka",VLOOKUP(G629,MODULY_CBA!$B$3:$E$23,2,0),),)</f>
        <v>1.18</v>
      </c>
      <c r="O629" s="378">
        <f t="shared" si="45"/>
        <v>5.5164999999999997</v>
      </c>
      <c r="P629" s="377">
        <f>IFERROR(O629*VLOOKUP(G629,MODULY_CBA!$B$3:$F$23,5,0),)</f>
        <v>165.495</v>
      </c>
      <c r="Q629" s="478" t="str">
        <f>IFERROR(VLOOKUP(G629,MODULY_CBA!$B$3:$I$23,6,0),"")</f>
        <v>Inkrement 5</v>
      </c>
    </row>
    <row r="630" spans="1:17">
      <c r="A630" s="401">
        <v>628</v>
      </c>
      <c r="B630" s="401" t="s">
        <v>475</v>
      </c>
      <c r="C630" s="669" t="s">
        <v>1094</v>
      </c>
      <c r="D630" s="530" t="s">
        <v>1062</v>
      </c>
      <c r="E630" s="532"/>
      <c r="F630" s="389" t="s">
        <v>8</v>
      </c>
      <c r="G630" s="389" t="s">
        <v>265</v>
      </c>
      <c r="H630" s="379">
        <v>1</v>
      </c>
      <c r="I630" s="379">
        <v>5</v>
      </c>
      <c r="J630" s="379">
        <f t="shared" si="43"/>
        <v>1</v>
      </c>
      <c r="K630" s="379">
        <f t="shared" si="44"/>
        <v>5</v>
      </c>
      <c r="L630" s="643">
        <f>IFERROR(IF(B630="funkcna poziadavka",VLOOKUP(G630,MODULY_CBA!$B$3:$E$23,4,0)*H630/SUMIFS($H$3:$H$199,$G$3:$G$199,G630,$B$3:$B$199,B630),),)</f>
        <v>0</v>
      </c>
      <c r="M630" s="379">
        <f>IFERROR(IF(B630="Funkcna poziadavka",VLOOKUP(G630,MODULY_CBA!$B$3:$E$23,3,0),),)</f>
        <v>0.93499999999999994</v>
      </c>
      <c r="N630" s="379">
        <f>IFERROR(IF(B630="funkcna poziadavka",VLOOKUP(G630,MODULY_CBA!$B$3:$E$23,2,0),),)</f>
        <v>1.18</v>
      </c>
      <c r="O630" s="378">
        <f t="shared" si="45"/>
        <v>5.5164999999999997</v>
      </c>
      <c r="P630" s="377">
        <f>IFERROR(O630*VLOOKUP(G630,MODULY_CBA!$B$3:$F$23,5,0),)</f>
        <v>165.495</v>
      </c>
      <c r="Q630" s="478" t="str">
        <f>IFERROR(VLOOKUP(G630,MODULY_CBA!$B$3:$I$23,6,0),"")</f>
        <v>Inkrement 5</v>
      </c>
    </row>
    <row r="631" spans="1:17" ht="25.5">
      <c r="A631" s="401">
        <v>629</v>
      </c>
      <c r="B631" s="401" t="s">
        <v>475</v>
      </c>
      <c r="C631" s="389" t="s">
        <v>1094</v>
      </c>
      <c r="D631" s="532" t="s">
        <v>1086</v>
      </c>
      <c r="E631" s="532"/>
      <c r="F631" s="389" t="s">
        <v>8</v>
      </c>
      <c r="G631" s="389" t="s">
        <v>265</v>
      </c>
      <c r="H631" s="379">
        <v>1</v>
      </c>
      <c r="I631" s="379">
        <v>5</v>
      </c>
      <c r="J631" s="379">
        <f t="shared" si="43"/>
        <v>1</v>
      </c>
      <c r="K631" s="379">
        <f t="shared" si="44"/>
        <v>5</v>
      </c>
      <c r="L631" s="643">
        <f>IFERROR(IF(B631="funkcna poziadavka",VLOOKUP(G631,MODULY_CBA!$B$3:$E$23,4,0)*H631/SUMIFS($H$3:$H$199,$G$3:$G$199,G631,$B$3:$B$199,B631),),)</f>
        <v>0</v>
      </c>
      <c r="M631" s="379">
        <f>IFERROR(IF(B631="Funkcna poziadavka",VLOOKUP(G631,MODULY_CBA!$B$3:$E$23,3,0),),)</f>
        <v>0.93499999999999994</v>
      </c>
      <c r="N631" s="379">
        <f>IFERROR(IF(B631="funkcna poziadavka",VLOOKUP(G631,MODULY_CBA!$B$3:$E$23,2,0),),)</f>
        <v>1.18</v>
      </c>
      <c r="O631" s="378">
        <f t="shared" si="45"/>
        <v>5.5164999999999997</v>
      </c>
      <c r="P631" s="377">
        <f>IFERROR(O631*VLOOKUP(G631,MODULY_CBA!$B$3:$F$23,5,0),)</f>
        <v>165.495</v>
      </c>
      <c r="Q631" s="478" t="str">
        <f>IFERROR(VLOOKUP(G631,MODULY_CBA!$B$3:$I$23,6,0),"")</f>
        <v>Inkrement 5</v>
      </c>
    </row>
    <row r="632" spans="1:17" ht="25.5">
      <c r="A632" s="401">
        <v>630</v>
      </c>
      <c r="B632" s="401" t="s">
        <v>475</v>
      </c>
      <c r="C632" s="530" t="s">
        <v>1094</v>
      </c>
      <c r="D632" s="530" t="s">
        <v>1064</v>
      </c>
      <c r="E632" s="530"/>
      <c r="F632" s="389" t="s">
        <v>8</v>
      </c>
      <c r="G632" s="389" t="s">
        <v>265</v>
      </c>
      <c r="H632" s="379">
        <v>1</v>
      </c>
      <c r="I632" s="379">
        <v>5</v>
      </c>
      <c r="J632" s="379">
        <f t="shared" si="43"/>
        <v>1</v>
      </c>
      <c r="K632" s="379">
        <f t="shared" si="44"/>
        <v>5</v>
      </c>
      <c r="L632" s="643">
        <f>IFERROR(IF(B632="funkcna poziadavka",VLOOKUP(G632,MODULY_CBA!$B$3:$E$23,4,0)*H632/SUMIFS($H$3:$H$199,$G$3:$G$199,G632,$B$3:$B$199,B632),),)</f>
        <v>0</v>
      </c>
      <c r="M632" s="379">
        <f>IFERROR(IF(B632="Funkcna poziadavka",VLOOKUP(G632,MODULY_CBA!$B$3:$E$23,3,0),),)</f>
        <v>0.93499999999999994</v>
      </c>
      <c r="N632" s="379">
        <f>IFERROR(IF(B632="funkcna poziadavka",VLOOKUP(G632,MODULY_CBA!$B$3:$E$23,2,0),),)</f>
        <v>1.18</v>
      </c>
      <c r="O632" s="378">
        <f t="shared" si="45"/>
        <v>5.5164999999999997</v>
      </c>
      <c r="P632" s="377">
        <f>IFERROR(O632*VLOOKUP(G632,MODULY_CBA!$B$3:$F$23,5,0),)</f>
        <v>165.495</v>
      </c>
      <c r="Q632" s="478" t="str">
        <f>IFERROR(VLOOKUP(G632,MODULY_CBA!$B$3:$I$23,6,0),"")</f>
        <v>Inkrement 5</v>
      </c>
    </row>
    <row r="633" spans="1:17" ht="25.5">
      <c r="A633" s="401">
        <v>631</v>
      </c>
      <c r="B633" s="401" t="s">
        <v>475</v>
      </c>
      <c r="C633" s="530" t="s">
        <v>1094</v>
      </c>
      <c r="D633" s="530" t="s">
        <v>1065</v>
      </c>
      <c r="E633" s="530"/>
      <c r="F633" s="389" t="s">
        <v>8</v>
      </c>
      <c r="G633" s="389" t="s">
        <v>265</v>
      </c>
      <c r="H633" s="379">
        <v>1</v>
      </c>
      <c r="I633" s="379">
        <v>5</v>
      </c>
      <c r="J633" s="379">
        <f t="shared" si="43"/>
        <v>1</v>
      </c>
      <c r="K633" s="379">
        <f t="shared" si="44"/>
        <v>5</v>
      </c>
      <c r="L633" s="643">
        <f>IFERROR(IF(B633="funkcna poziadavka",VLOOKUP(G633,MODULY_CBA!$B$3:$E$23,4,0)*H633/SUMIFS($H$3:$H$199,$G$3:$G$199,G633,$B$3:$B$199,B633),),)</f>
        <v>0</v>
      </c>
      <c r="M633" s="379">
        <f>IFERROR(IF(B633="Funkcna poziadavka",VLOOKUP(G633,MODULY_CBA!$B$3:$E$23,3,0),),)</f>
        <v>0.93499999999999994</v>
      </c>
      <c r="N633" s="379">
        <f>IFERROR(IF(B633="funkcna poziadavka",VLOOKUP(G633,MODULY_CBA!$B$3:$E$23,2,0),),)</f>
        <v>1.18</v>
      </c>
      <c r="O633" s="378">
        <f t="shared" si="45"/>
        <v>5.5164999999999997</v>
      </c>
      <c r="P633" s="377">
        <f>IFERROR(O633*VLOOKUP(G633,MODULY_CBA!$B$3:$F$23,5,0),)</f>
        <v>165.495</v>
      </c>
      <c r="Q633" s="478" t="str">
        <f>IFERROR(VLOOKUP(G633,MODULY_CBA!$B$3:$I$23,6,0),"")</f>
        <v>Inkrement 5</v>
      </c>
    </row>
    <row r="634" spans="1:17" ht="25.5">
      <c r="A634" s="401">
        <v>632</v>
      </c>
      <c r="B634" s="401" t="s">
        <v>475</v>
      </c>
      <c r="C634" s="530" t="s">
        <v>1094</v>
      </c>
      <c r="D634" s="530" t="s">
        <v>1066</v>
      </c>
      <c r="E634" s="530"/>
      <c r="F634" s="389" t="s">
        <v>8</v>
      </c>
      <c r="G634" s="389" t="s">
        <v>265</v>
      </c>
      <c r="H634" s="379">
        <v>1</v>
      </c>
      <c r="I634" s="379">
        <v>5</v>
      </c>
      <c r="J634" s="379">
        <f t="shared" si="43"/>
        <v>1</v>
      </c>
      <c r="K634" s="379">
        <f t="shared" si="44"/>
        <v>5</v>
      </c>
      <c r="L634" s="643">
        <f>IFERROR(IF(B634="funkcna poziadavka",VLOOKUP(G634,MODULY_CBA!$B$3:$E$23,4,0)*H634/SUMIFS($H$3:$H$199,$G$3:$G$199,G634,$B$3:$B$199,B634),),)</f>
        <v>0</v>
      </c>
      <c r="M634" s="379">
        <f>IFERROR(IF(B634="Funkcna poziadavka",VLOOKUP(G634,MODULY_CBA!$B$3:$E$23,3,0),),)</f>
        <v>0.93499999999999994</v>
      </c>
      <c r="N634" s="379">
        <f>IFERROR(IF(B634="funkcna poziadavka",VLOOKUP(G634,MODULY_CBA!$B$3:$E$23,2,0),),)</f>
        <v>1.18</v>
      </c>
      <c r="O634" s="378">
        <f t="shared" si="45"/>
        <v>5.5164999999999997</v>
      </c>
      <c r="P634" s="377">
        <f>IFERROR(O634*VLOOKUP(G634,MODULY_CBA!$B$3:$F$23,5,0),)</f>
        <v>165.495</v>
      </c>
      <c r="Q634" s="478" t="str">
        <f>IFERROR(VLOOKUP(G634,MODULY_CBA!$B$3:$I$23,6,0),"")</f>
        <v>Inkrement 5</v>
      </c>
    </row>
    <row r="635" spans="1:17" ht="25.5">
      <c r="A635" s="401">
        <v>633</v>
      </c>
      <c r="B635" s="401" t="s">
        <v>475</v>
      </c>
      <c r="C635" s="530" t="s">
        <v>1095</v>
      </c>
      <c r="D635" s="532" t="s">
        <v>1072</v>
      </c>
      <c r="E635" s="530"/>
      <c r="F635" s="389" t="s">
        <v>8</v>
      </c>
      <c r="G635" s="389" t="s">
        <v>265</v>
      </c>
      <c r="H635" s="379">
        <v>1</v>
      </c>
      <c r="I635" s="379">
        <v>5</v>
      </c>
      <c r="J635" s="379">
        <f t="shared" si="43"/>
        <v>1</v>
      </c>
      <c r="K635" s="379">
        <f t="shared" si="44"/>
        <v>5</v>
      </c>
      <c r="L635" s="643">
        <f>IFERROR(IF(B635="funkcna poziadavka",VLOOKUP(G635,MODULY_CBA!$B$3:$E$23,4,0)*H635/SUMIFS($H$3:$H$199,$G$3:$G$199,G635,$B$3:$B$199,B635),),)</f>
        <v>0</v>
      </c>
      <c r="M635" s="379">
        <f>IFERROR(IF(B635="Funkcna poziadavka",VLOOKUP(G635,MODULY_CBA!$B$3:$E$23,3,0),),)</f>
        <v>0.93499999999999994</v>
      </c>
      <c r="N635" s="379">
        <f>IFERROR(IF(B635="funkcna poziadavka",VLOOKUP(G635,MODULY_CBA!$B$3:$E$23,2,0),),)</f>
        <v>1.18</v>
      </c>
      <c r="O635" s="378">
        <f t="shared" si="45"/>
        <v>5.5164999999999997</v>
      </c>
      <c r="P635" s="377">
        <f>IFERROR(O635*VLOOKUP(G635,MODULY_CBA!$B$3:$F$23,5,0),)</f>
        <v>165.495</v>
      </c>
      <c r="Q635" s="478" t="str">
        <f>IFERROR(VLOOKUP(G635,MODULY_CBA!$B$3:$I$23,6,0),"")</f>
        <v>Inkrement 5</v>
      </c>
    </row>
    <row r="636" spans="1:17" ht="25.5">
      <c r="A636" s="401">
        <v>634</v>
      </c>
      <c r="B636" s="401" t="s">
        <v>475</v>
      </c>
      <c r="C636" s="530" t="s">
        <v>1095</v>
      </c>
      <c r="D636" s="532" t="s">
        <v>1096</v>
      </c>
      <c r="E636" s="530"/>
      <c r="F636" s="389" t="s">
        <v>8</v>
      </c>
      <c r="G636" s="389" t="s">
        <v>265</v>
      </c>
      <c r="H636" s="379">
        <v>1</v>
      </c>
      <c r="I636" s="379">
        <v>5</v>
      </c>
      <c r="J636" s="379">
        <f t="shared" si="43"/>
        <v>1</v>
      </c>
      <c r="K636" s="379">
        <f t="shared" si="44"/>
        <v>5</v>
      </c>
      <c r="L636" s="643">
        <f>IFERROR(IF(B636="funkcna poziadavka",VLOOKUP(G636,MODULY_CBA!$B$3:$E$23,4,0)*H636/SUMIFS($H$3:$H$199,$G$3:$G$199,G636,$B$3:$B$199,B636),),)</f>
        <v>0</v>
      </c>
      <c r="M636" s="379">
        <f>IFERROR(IF(B636="Funkcna poziadavka",VLOOKUP(G636,MODULY_CBA!$B$3:$E$23,3,0),),)</f>
        <v>0.93499999999999994</v>
      </c>
      <c r="N636" s="379">
        <f>IFERROR(IF(B636="funkcna poziadavka",VLOOKUP(G636,MODULY_CBA!$B$3:$E$23,2,0),),)</f>
        <v>1.18</v>
      </c>
      <c r="O636" s="378">
        <f t="shared" si="45"/>
        <v>5.5164999999999997</v>
      </c>
      <c r="P636" s="377">
        <f>IFERROR(O636*VLOOKUP(G636,MODULY_CBA!$B$3:$F$23,5,0),)</f>
        <v>165.495</v>
      </c>
      <c r="Q636" s="478" t="str">
        <f>IFERROR(VLOOKUP(G636,MODULY_CBA!$B$3:$I$23,6,0),"")</f>
        <v>Inkrement 5</v>
      </c>
    </row>
    <row r="637" spans="1:17" ht="25.5">
      <c r="A637" s="401">
        <v>635</v>
      </c>
      <c r="B637" s="401" t="s">
        <v>475</v>
      </c>
      <c r="C637" s="530" t="s">
        <v>1095</v>
      </c>
      <c r="D637" s="530" t="s">
        <v>1073</v>
      </c>
      <c r="E637" s="383"/>
      <c r="F637" s="389" t="s">
        <v>8</v>
      </c>
      <c r="G637" s="389" t="s">
        <v>265</v>
      </c>
      <c r="H637" s="379">
        <v>1</v>
      </c>
      <c r="I637" s="379">
        <v>5</v>
      </c>
      <c r="J637" s="379">
        <f t="shared" si="43"/>
        <v>1</v>
      </c>
      <c r="K637" s="379">
        <f t="shared" si="44"/>
        <v>5</v>
      </c>
      <c r="L637" s="643">
        <f>IFERROR(IF(B637="funkcna poziadavka",VLOOKUP(G637,MODULY_CBA!$B$3:$E$23,4,0)*H637/SUMIFS($H$3:$H$199,$G$3:$G$199,G637,$B$3:$B$199,B637),),)</f>
        <v>0</v>
      </c>
      <c r="M637" s="379">
        <f>IFERROR(IF(B637="Funkcna poziadavka",VLOOKUP(G637,MODULY_CBA!$B$3:$E$23,3,0),),)</f>
        <v>0.93499999999999994</v>
      </c>
      <c r="N637" s="379">
        <f>IFERROR(IF(B637="funkcna poziadavka",VLOOKUP(G637,MODULY_CBA!$B$3:$E$23,2,0),),)</f>
        <v>1.18</v>
      </c>
      <c r="O637" s="378">
        <f t="shared" si="45"/>
        <v>5.5164999999999997</v>
      </c>
      <c r="P637" s="377">
        <f>IFERROR(O637*VLOOKUP(G637,MODULY_CBA!$B$3:$F$23,5,0),)</f>
        <v>165.495</v>
      </c>
      <c r="Q637" s="478" t="str">
        <f>IFERROR(VLOOKUP(G637,MODULY_CBA!$B$3:$I$23,6,0),"")</f>
        <v>Inkrement 5</v>
      </c>
    </row>
    <row r="638" spans="1:17" ht="25.5">
      <c r="A638" s="401">
        <v>636</v>
      </c>
      <c r="B638" s="401" t="s">
        <v>475</v>
      </c>
      <c r="C638" s="530" t="s">
        <v>1097</v>
      </c>
      <c r="D638" s="530" t="s">
        <v>1068</v>
      </c>
      <c r="E638" s="389"/>
      <c r="F638" s="389" t="s">
        <v>8</v>
      </c>
      <c r="G638" s="389" t="s">
        <v>265</v>
      </c>
      <c r="H638" s="379">
        <v>1</v>
      </c>
      <c r="I638" s="379">
        <v>5</v>
      </c>
      <c r="J638" s="379">
        <f t="shared" si="43"/>
        <v>1</v>
      </c>
      <c r="K638" s="379">
        <f t="shared" si="44"/>
        <v>5</v>
      </c>
      <c r="L638" s="643">
        <f>IFERROR(IF(B638="funkcna poziadavka",VLOOKUP(G638,MODULY_CBA!$B$3:$E$23,4,0)*H638/SUMIFS($H$3:$H$199,$G$3:$G$199,G638,$B$3:$B$199,B638),),)</f>
        <v>0</v>
      </c>
      <c r="M638" s="379">
        <f>IFERROR(IF(B638="Funkcna poziadavka",VLOOKUP(G638,MODULY_CBA!$B$3:$E$23,3,0),),)</f>
        <v>0.93499999999999994</v>
      </c>
      <c r="N638" s="379">
        <f>IFERROR(IF(B638="funkcna poziadavka",VLOOKUP(G638,MODULY_CBA!$B$3:$E$23,2,0),),)</f>
        <v>1.18</v>
      </c>
      <c r="O638" s="378">
        <f t="shared" si="45"/>
        <v>5.5164999999999997</v>
      </c>
      <c r="P638" s="377">
        <f>IFERROR(O638*VLOOKUP(G638,MODULY_CBA!$B$3:$F$23,5,0),)</f>
        <v>165.495</v>
      </c>
      <c r="Q638" s="478" t="str">
        <f>IFERROR(VLOOKUP(G638,MODULY_CBA!$B$3:$I$23,6,0),"")</f>
        <v>Inkrement 5</v>
      </c>
    </row>
    <row r="639" spans="1:17" ht="25.5">
      <c r="A639" s="401">
        <v>637</v>
      </c>
      <c r="B639" s="401" t="s">
        <v>475</v>
      </c>
      <c r="C639" s="530" t="s">
        <v>1097</v>
      </c>
      <c r="D639" s="530" t="s">
        <v>1069</v>
      </c>
      <c r="E639" s="389"/>
      <c r="F639" s="389" t="s">
        <v>8</v>
      </c>
      <c r="G639" s="389" t="s">
        <v>265</v>
      </c>
      <c r="H639" s="379">
        <v>1</v>
      </c>
      <c r="I639" s="379">
        <v>5</v>
      </c>
      <c r="J639" s="379">
        <f t="shared" si="43"/>
        <v>1</v>
      </c>
      <c r="K639" s="379">
        <f t="shared" si="44"/>
        <v>5</v>
      </c>
      <c r="L639" s="643">
        <f>IFERROR(IF(B639="funkcna poziadavka",VLOOKUP(G639,MODULY_CBA!$B$3:$E$23,4,0)*H639/SUMIFS($H$3:$H$199,$G$3:$G$199,G639,$B$3:$B$199,B639),),)</f>
        <v>0</v>
      </c>
      <c r="M639" s="379">
        <f>IFERROR(IF(B639="Funkcna poziadavka",VLOOKUP(G639,MODULY_CBA!$B$3:$E$23,3,0),),)</f>
        <v>0.93499999999999994</v>
      </c>
      <c r="N639" s="379">
        <f>IFERROR(IF(B639="funkcna poziadavka",VLOOKUP(G639,MODULY_CBA!$B$3:$E$23,2,0),),)</f>
        <v>1.18</v>
      </c>
      <c r="O639" s="378">
        <f t="shared" si="45"/>
        <v>5.5164999999999997</v>
      </c>
      <c r="P639" s="377">
        <f>IFERROR(O639*VLOOKUP(G639,MODULY_CBA!$B$3:$F$23,5,0),)</f>
        <v>165.495</v>
      </c>
      <c r="Q639" s="478" t="str">
        <f>IFERROR(VLOOKUP(G639,MODULY_CBA!$B$3:$I$23,6,0),"")</f>
        <v>Inkrement 5</v>
      </c>
    </row>
    <row r="640" spans="1:17" ht="25.5">
      <c r="A640" s="401">
        <v>638</v>
      </c>
      <c r="B640" s="401" t="s">
        <v>475</v>
      </c>
      <c r="C640" s="530" t="s">
        <v>1097</v>
      </c>
      <c r="D640" s="530" t="s">
        <v>1070</v>
      </c>
      <c r="E640" s="389"/>
      <c r="F640" s="389" t="s">
        <v>8</v>
      </c>
      <c r="G640" s="389" t="s">
        <v>265</v>
      </c>
      <c r="H640" s="379">
        <v>1</v>
      </c>
      <c r="I640" s="379">
        <v>5</v>
      </c>
      <c r="J640" s="379">
        <f t="shared" si="43"/>
        <v>1</v>
      </c>
      <c r="K640" s="379">
        <f t="shared" si="44"/>
        <v>5</v>
      </c>
      <c r="L640" s="643">
        <f>IFERROR(IF(B640="funkcna poziadavka",VLOOKUP(G640,MODULY_CBA!$B$3:$E$23,4,0)*H640/SUMIFS($H$3:$H$199,$G$3:$G$199,G640,$B$3:$B$199,B640),),)</f>
        <v>0</v>
      </c>
      <c r="M640" s="379">
        <f>IFERROR(IF(B640="Funkcna poziadavka",VLOOKUP(G640,MODULY_CBA!$B$3:$E$23,3,0),),)</f>
        <v>0.93499999999999994</v>
      </c>
      <c r="N640" s="379">
        <f>IFERROR(IF(B640="funkcna poziadavka",VLOOKUP(G640,MODULY_CBA!$B$3:$E$23,2,0),),)</f>
        <v>1.18</v>
      </c>
      <c r="O640" s="378">
        <f t="shared" si="45"/>
        <v>5.5164999999999997</v>
      </c>
      <c r="P640" s="377">
        <f>IFERROR(O640*VLOOKUP(G640,MODULY_CBA!$B$3:$F$23,5,0),)</f>
        <v>165.495</v>
      </c>
      <c r="Q640" s="478" t="str">
        <f>IFERROR(VLOOKUP(G640,MODULY_CBA!$B$3:$I$23,6,0),"")</f>
        <v>Inkrement 5</v>
      </c>
    </row>
    <row r="641" spans="1:17" ht="25.5">
      <c r="A641" s="401">
        <v>639</v>
      </c>
      <c r="B641" s="401" t="s">
        <v>475</v>
      </c>
      <c r="C641" s="532" t="s">
        <v>1098</v>
      </c>
      <c r="D641" s="532" t="s">
        <v>1075</v>
      </c>
      <c r="E641" s="389"/>
      <c r="F641" s="389" t="s">
        <v>8</v>
      </c>
      <c r="G641" s="389" t="s">
        <v>265</v>
      </c>
      <c r="H641" s="379">
        <v>1</v>
      </c>
      <c r="I641" s="379">
        <v>5</v>
      </c>
      <c r="J641" s="379">
        <f t="shared" si="43"/>
        <v>1</v>
      </c>
      <c r="K641" s="379">
        <f t="shared" si="44"/>
        <v>5</v>
      </c>
      <c r="L641" s="643">
        <f>IFERROR(IF(B641="funkcna poziadavka",VLOOKUP(G641,MODULY_CBA!$B$3:$E$23,4,0)*H641/SUMIFS($H$3:$H$199,$G$3:$G$199,G641,$B$3:$B$199,B641),),)</f>
        <v>0</v>
      </c>
      <c r="M641" s="379">
        <f>IFERROR(IF(B641="Funkcna poziadavka",VLOOKUP(G641,MODULY_CBA!$B$3:$E$23,3,0),),)</f>
        <v>0.93499999999999994</v>
      </c>
      <c r="N641" s="379">
        <f>IFERROR(IF(B641="funkcna poziadavka",VLOOKUP(G641,MODULY_CBA!$B$3:$E$23,2,0),),)</f>
        <v>1.18</v>
      </c>
      <c r="O641" s="378">
        <f t="shared" si="45"/>
        <v>5.5164999999999997</v>
      </c>
      <c r="P641" s="377">
        <f>IFERROR(O641*VLOOKUP(G641,MODULY_CBA!$B$3:$F$23,5,0),)</f>
        <v>165.495</v>
      </c>
      <c r="Q641" s="478" t="str">
        <f>IFERROR(VLOOKUP(G641,MODULY_CBA!$B$3:$I$23,6,0),"")</f>
        <v>Inkrement 5</v>
      </c>
    </row>
    <row r="642" spans="1:17" ht="25.5">
      <c r="A642" s="401">
        <v>640</v>
      </c>
      <c r="B642" s="401" t="s">
        <v>475</v>
      </c>
      <c r="C642" s="532" t="s">
        <v>1098</v>
      </c>
      <c r="D642" s="532" t="s">
        <v>1076</v>
      </c>
      <c r="E642" s="389"/>
      <c r="F642" s="389" t="s">
        <v>8</v>
      </c>
      <c r="G642" s="389" t="s">
        <v>265</v>
      </c>
      <c r="H642" s="379">
        <v>1</v>
      </c>
      <c r="I642" s="379">
        <v>5</v>
      </c>
      <c r="J642" s="379">
        <f t="shared" si="43"/>
        <v>1</v>
      </c>
      <c r="K642" s="379">
        <f t="shared" si="44"/>
        <v>5</v>
      </c>
      <c r="L642" s="643">
        <f>IFERROR(IF(B642="funkcna poziadavka",VLOOKUP(G642,MODULY_CBA!$B$3:$E$23,4,0)*H642/SUMIFS($H$3:$H$199,$G$3:$G$199,G642,$B$3:$B$199,B642),),)</f>
        <v>0</v>
      </c>
      <c r="M642" s="379">
        <f>IFERROR(IF(B642="Funkcna poziadavka",VLOOKUP(G642,MODULY_CBA!$B$3:$E$23,3,0),),)</f>
        <v>0.93499999999999994</v>
      </c>
      <c r="N642" s="379">
        <f>IFERROR(IF(B642="funkcna poziadavka",VLOOKUP(G642,MODULY_CBA!$B$3:$E$23,2,0),),)</f>
        <v>1.18</v>
      </c>
      <c r="O642" s="378">
        <f t="shared" si="45"/>
        <v>5.5164999999999997</v>
      </c>
      <c r="P642" s="377">
        <f>IFERROR(O642*VLOOKUP(G642,MODULY_CBA!$B$3:$F$23,5,0),)</f>
        <v>165.495</v>
      </c>
      <c r="Q642" s="478" t="str">
        <f>IFERROR(VLOOKUP(G642,MODULY_CBA!$B$3:$I$23,6,0),"")</f>
        <v>Inkrement 5</v>
      </c>
    </row>
    <row r="643" spans="1:17">
      <c r="A643" s="401">
        <v>641</v>
      </c>
      <c r="B643" s="401" t="s">
        <v>475</v>
      </c>
      <c r="C643" s="532" t="s">
        <v>1099</v>
      </c>
      <c r="D643" s="532" t="s">
        <v>1100</v>
      </c>
      <c r="E643" s="389"/>
      <c r="F643" s="389" t="s">
        <v>8</v>
      </c>
      <c r="G643" s="389" t="s">
        <v>265</v>
      </c>
      <c r="H643" s="379">
        <v>1</v>
      </c>
      <c r="I643" s="379">
        <v>5</v>
      </c>
      <c r="J643" s="379">
        <f t="shared" si="43"/>
        <v>1</v>
      </c>
      <c r="K643" s="379">
        <f t="shared" si="44"/>
        <v>5</v>
      </c>
      <c r="L643" s="643">
        <f>IFERROR(IF(B643="funkcna poziadavka",VLOOKUP(G643,MODULY_CBA!$B$3:$E$23,4,0)*H643/SUMIFS($H$3:$H$199,$G$3:$G$199,G643,$B$3:$B$199,B643),),)</f>
        <v>0</v>
      </c>
      <c r="M643" s="379">
        <f>IFERROR(IF(B643="Funkcna poziadavka",VLOOKUP(G643,MODULY_CBA!$B$3:$E$23,3,0),),)</f>
        <v>0.93499999999999994</v>
      </c>
      <c r="N643" s="379">
        <f>IFERROR(IF(B643="funkcna poziadavka",VLOOKUP(G643,MODULY_CBA!$B$3:$E$23,2,0),),)</f>
        <v>1.18</v>
      </c>
      <c r="O643" s="378">
        <f t="shared" si="45"/>
        <v>5.5164999999999997</v>
      </c>
      <c r="P643" s="377">
        <f>IFERROR(O643*VLOOKUP(G643,MODULY_CBA!$B$3:$F$23,5,0),)</f>
        <v>165.495</v>
      </c>
      <c r="Q643" s="478" t="str">
        <f>IFERROR(VLOOKUP(G643,MODULY_CBA!$B$3:$I$23,6,0),"")</f>
        <v>Inkrement 5</v>
      </c>
    </row>
    <row r="644" spans="1:17">
      <c r="A644" s="401">
        <v>642</v>
      </c>
      <c r="B644" s="401" t="s">
        <v>475</v>
      </c>
      <c r="C644" s="532" t="s">
        <v>1099</v>
      </c>
      <c r="D644" s="532" t="s">
        <v>1101</v>
      </c>
      <c r="E644" s="389"/>
      <c r="F644" s="389" t="s">
        <v>8</v>
      </c>
      <c r="G644" s="389" t="s">
        <v>265</v>
      </c>
      <c r="H644" s="379">
        <v>1</v>
      </c>
      <c r="I644" s="379">
        <v>5</v>
      </c>
      <c r="J644" s="379">
        <f t="shared" si="43"/>
        <v>1</v>
      </c>
      <c r="K644" s="379">
        <f t="shared" si="44"/>
        <v>5</v>
      </c>
      <c r="L644" s="643">
        <f>IFERROR(IF(B644="funkcna poziadavka",VLOOKUP(G644,MODULY_CBA!$B$3:$E$23,4,0)*H644/SUMIFS($H$3:$H$199,$G$3:$G$199,G644,$B$3:$B$199,B644),),)</f>
        <v>0</v>
      </c>
      <c r="M644" s="379">
        <f>IFERROR(IF(B644="Funkcna poziadavka",VLOOKUP(G644,MODULY_CBA!$B$3:$E$23,3,0),),)</f>
        <v>0.93499999999999994</v>
      </c>
      <c r="N644" s="379">
        <f>IFERROR(IF(B644="funkcna poziadavka",VLOOKUP(G644,MODULY_CBA!$B$3:$E$23,2,0),),)</f>
        <v>1.18</v>
      </c>
      <c r="O644" s="378">
        <f t="shared" si="45"/>
        <v>5.5164999999999997</v>
      </c>
      <c r="P644" s="377">
        <f>IFERROR(O644*VLOOKUP(G644,MODULY_CBA!$B$3:$F$23,5,0),)</f>
        <v>165.495</v>
      </c>
      <c r="Q644" s="478" t="str">
        <f>IFERROR(VLOOKUP(G644,MODULY_CBA!$B$3:$I$23,6,0),"")</f>
        <v>Inkrement 5</v>
      </c>
    </row>
    <row r="645" spans="1:17">
      <c r="A645" s="401">
        <v>643</v>
      </c>
      <c r="B645" s="401" t="s">
        <v>475</v>
      </c>
      <c r="C645" s="530" t="s">
        <v>1102</v>
      </c>
      <c r="D645" s="530" t="s">
        <v>1046</v>
      </c>
      <c r="E645" s="389"/>
      <c r="F645" s="389" t="s">
        <v>8</v>
      </c>
      <c r="G645" s="389" t="s">
        <v>265</v>
      </c>
      <c r="H645" s="379">
        <v>1</v>
      </c>
      <c r="I645" s="379">
        <v>5</v>
      </c>
      <c r="J645" s="379">
        <f t="shared" ref="J645:J708" si="46">IF(ISNUMBER(H645),H645,)</f>
        <v>1</v>
      </c>
      <c r="K645" s="379">
        <f t="shared" si="44"/>
        <v>5</v>
      </c>
      <c r="L645" s="643">
        <f>IFERROR(IF(B645="funkcna poziadavka",VLOOKUP(G645,MODULY_CBA!$B$3:$E$23,4,0)*H645/SUMIFS($H$3:$H$199,$G$3:$G$199,G645,$B$3:$B$199,B645),),)</f>
        <v>0</v>
      </c>
      <c r="M645" s="379">
        <f>IFERROR(IF(B645="Funkcna poziadavka",VLOOKUP(G645,MODULY_CBA!$B$3:$E$23,3,0),),)</f>
        <v>0.93499999999999994</v>
      </c>
      <c r="N645" s="379">
        <f>IFERROR(IF(B645="funkcna poziadavka",VLOOKUP(G645,MODULY_CBA!$B$3:$E$23,2,0),),)</f>
        <v>1.18</v>
      </c>
      <c r="O645" s="378">
        <f t="shared" si="45"/>
        <v>5.5164999999999997</v>
      </c>
      <c r="P645" s="377">
        <f>IFERROR(O645*VLOOKUP(G645,MODULY_CBA!$B$3:$F$23,5,0),)</f>
        <v>165.495</v>
      </c>
      <c r="Q645" s="478" t="str">
        <f>IFERROR(VLOOKUP(G645,MODULY_CBA!$B$3:$I$23,6,0),"")</f>
        <v>Inkrement 5</v>
      </c>
    </row>
    <row r="646" spans="1:17">
      <c r="A646" s="401">
        <v>644</v>
      </c>
      <c r="B646" s="401" t="s">
        <v>475</v>
      </c>
      <c r="C646" s="530" t="s">
        <v>1103</v>
      </c>
      <c r="D646" s="530" t="s">
        <v>1104</v>
      </c>
      <c r="E646" s="389"/>
      <c r="F646" s="389" t="s">
        <v>8</v>
      </c>
      <c r="G646" s="389" t="s">
        <v>265</v>
      </c>
      <c r="H646" s="379">
        <v>1</v>
      </c>
      <c r="I646" s="379">
        <v>5</v>
      </c>
      <c r="J646" s="379">
        <f t="shared" si="46"/>
        <v>1</v>
      </c>
      <c r="K646" s="379">
        <f t="shared" si="44"/>
        <v>5</v>
      </c>
      <c r="L646" s="643">
        <f>IFERROR(IF(B646="funkcna poziadavka",VLOOKUP(G646,MODULY_CBA!$B$3:$E$23,4,0)*H646/SUMIFS($H$3:$H$199,$G$3:$G$199,G646,$B$3:$B$199,B646),),)</f>
        <v>0</v>
      </c>
      <c r="M646" s="379">
        <f>IFERROR(IF(B646="Funkcna poziadavka",VLOOKUP(G646,MODULY_CBA!$B$3:$E$23,3,0),),)</f>
        <v>0.93499999999999994</v>
      </c>
      <c r="N646" s="379">
        <f>IFERROR(IF(B646="funkcna poziadavka",VLOOKUP(G646,MODULY_CBA!$B$3:$E$23,2,0),),)</f>
        <v>1.18</v>
      </c>
      <c r="O646" s="378">
        <f t="shared" si="45"/>
        <v>5.5164999999999997</v>
      </c>
      <c r="P646" s="377">
        <f>IFERROR(O646*VLOOKUP(G646,MODULY_CBA!$B$3:$F$23,5,0),)</f>
        <v>165.495</v>
      </c>
      <c r="Q646" s="478" t="str">
        <f>IFERROR(VLOOKUP(G646,MODULY_CBA!$B$3:$I$23,6,0),"")</f>
        <v>Inkrement 5</v>
      </c>
    </row>
    <row r="647" spans="1:17">
      <c r="A647" s="401">
        <v>645</v>
      </c>
      <c r="B647" s="401" t="s">
        <v>475</v>
      </c>
      <c r="C647" s="530" t="s">
        <v>1103</v>
      </c>
      <c r="D647" s="530" t="s">
        <v>1105</v>
      </c>
      <c r="E647" s="389"/>
      <c r="F647" s="389" t="s">
        <v>8</v>
      </c>
      <c r="G647" s="389" t="s">
        <v>265</v>
      </c>
      <c r="H647" s="379">
        <v>1</v>
      </c>
      <c r="I647" s="379">
        <v>5</v>
      </c>
      <c r="J647" s="379">
        <f t="shared" si="46"/>
        <v>1</v>
      </c>
      <c r="K647" s="379">
        <f t="shared" si="44"/>
        <v>5</v>
      </c>
      <c r="L647" s="643">
        <f>IFERROR(IF(B647="funkcna poziadavka",VLOOKUP(G647,MODULY_CBA!$B$3:$E$23,4,0)*H647/SUMIFS($H$3:$H$199,$G$3:$G$199,G647,$B$3:$B$199,B647),),)</f>
        <v>0</v>
      </c>
      <c r="M647" s="379">
        <f>IFERROR(IF(B647="Funkcna poziadavka",VLOOKUP(G647,MODULY_CBA!$B$3:$E$23,3,0),),)</f>
        <v>0.93499999999999994</v>
      </c>
      <c r="N647" s="379">
        <f>IFERROR(IF(B647="funkcna poziadavka",VLOOKUP(G647,MODULY_CBA!$B$3:$E$23,2,0),),)</f>
        <v>1.18</v>
      </c>
      <c r="O647" s="378">
        <f t="shared" si="45"/>
        <v>5.5164999999999997</v>
      </c>
      <c r="P647" s="377">
        <f>IFERROR(O647*VLOOKUP(G647,MODULY_CBA!$B$3:$F$23,5,0),)</f>
        <v>165.495</v>
      </c>
      <c r="Q647" s="478" t="str">
        <f>IFERROR(VLOOKUP(G647,MODULY_CBA!$B$3:$I$23,6,0),"")</f>
        <v>Inkrement 5</v>
      </c>
    </row>
    <row r="648" spans="1:17">
      <c r="A648" s="401">
        <v>646</v>
      </c>
      <c r="B648" s="401" t="s">
        <v>475</v>
      </c>
      <c r="C648" s="389" t="s">
        <v>1103</v>
      </c>
      <c r="D648" s="530" t="s">
        <v>1106</v>
      </c>
      <c r="E648" s="389"/>
      <c r="F648" s="389" t="s">
        <v>8</v>
      </c>
      <c r="G648" s="389" t="s">
        <v>265</v>
      </c>
      <c r="H648" s="379">
        <v>1</v>
      </c>
      <c r="I648" s="379">
        <v>5</v>
      </c>
      <c r="J648" s="379">
        <f t="shared" si="46"/>
        <v>1</v>
      </c>
      <c r="K648" s="379">
        <f t="shared" si="44"/>
        <v>5</v>
      </c>
      <c r="L648" s="643">
        <f>IFERROR(IF(B648="funkcna poziadavka",VLOOKUP(G648,MODULY_CBA!$B$3:$E$23,4,0)*H648/SUMIFS($H$3:$H$199,$G$3:$G$199,G648,$B$3:$B$199,B648),),)</f>
        <v>0</v>
      </c>
      <c r="M648" s="379">
        <f>IFERROR(IF(B648="Funkcna poziadavka",VLOOKUP(G648,MODULY_CBA!$B$3:$E$23,3,0),),)</f>
        <v>0.93499999999999994</v>
      </c>
      <c r="N648" s="379">
        <f>IFERROR(IF(B648="funkcna poziadavka",VLOOKUP(G648,MODULY_CBA!$B$3:$E$23,2,0),),)</f>
        <v>1.18</v>
      </c>
      <c r="O648" s="378">
        <f t="shared" si="45"/>
        <v>5.5164999999999997</v>
      </c>
      <c r="P648" s="377">
        <f>IFERROR(O648*VLOOKUP(G648,MODULY_CBA!$B$3:$F$23,5,0),)</f>
        <v>165.495</v>
      </c>
      <c r="Q648" s="478" t="str">
        <f>IFERROR(VLOOKUP(G648,MODULY_CBA!$B$3:$I$23,6,0),"")</f>
        <v>Inkrement 5</v>
      </c>
    </row>
    <row r="649" spans="1:17">
      <c r="A649" s="401">
        <v>647</v>
      </c>
      <c r="B649" s="401" t="s">
        <v>475</v>
      </c>
      <c r="C649" s="530" t="s">
        <v>1107</v>
      </c>
      <c r="D649" s="530" t="s">
        <v>1108</v>
      </c>
      <c r="E649" s="389"/>
      <c r="F649" s="389" t="s">
        <v>8</v>
      </c>
      <c r="G649" s="389" t="s">
        <v>265</v>
      </c>
      <c r="H649" s="379">
        <v>1</v>
      </c>
      <c r="I649" s="379">
        <v>5</v>
      </c>
      <c r="J649" s="379">
        <f t="shared" si="46"/>
        <v>1</v>
      </c>
      <c r="K649" s="379">
        <f t="shared" si="44"/>
        <v>5</v>
      </c>
      <c r="L649" s="643">
        <f>IFERROR(IF(B649="funkcna poziadavka",VLOOKUP(G649,MODULY_CBA!$B$3:$E$23,4,0)*H649/SUMIFS($H$3:$H$199,$G$3:$G$199,G649,$B$3:$B$199,B649),),)</f>
        <v>0</v>
      </c>
      <c r="M649" s="379">
        <f>IFERROR(IF(B649="Funkcna poziadavka",VLOOKUP(G649,MODULY_CBA!$B$3:$E$23,3,0),),)</f>
        <v>0.93499999999999994</v>
      </c>
      <c r="N649" s="379">
        <f>IFERROR(IF(B649="funkcna poziadavka",VLOOKUP(G649,MODULY_CBA!$B$3:$E$23,2,0),),)</f>
        <v>1.18</v>
      </c>
      <c r="O649" s="378">
        <f t="shared" si="45"/>
        <v>5.5164999999999997</v>
      </c>
      <c r="P649" s="377">
        <f>IFERROR(O649*VLOOKUP(G649,MODULY_CBA!$B$3:$F$23,5,0),)</f>
        <v>165.495</v>
      </c>
      <c r="Q649" s="478" t="str">
        <f>IFERROR(VLOOKUP(G649,MODULY_CBA!$B$3:$I$23,6,0),"")</f>
        <v>Inkrement 5</v>
      </c>
    </row>
    <row r="650" spans="1:17">
      <c r="A650" s="401">
        <v>648</v>
      </c>
      <c r="B650" s="401" t="s">
        <v>475</v>
      </c>
      <c r="C650" s="530" t="s">
        <v>1107</v>
      </c>
      <c r="D650" s="530" t="s">
        <v>1109</v>
      </c>
      <c r="E650" s="389"/>
      <c r="F650" s="389" t="s">
        <v>8</v>
      </c>
      <c r="G650" s="389" t="s">
        <v>265</v>
      </c>
      <c r="H650" s="379">
        <v>1</v>
      </c>
      <c r="I650" s="379">
        <v>5</v>
      </c>
      <c r="J650" s="379">
        <f t="shared" si="46"/>
        <v>1</v>
      </c>
      <c r="K650" s="379">
        <f t="shared" si="44"/>
        <v>5</v>
      </c>
      <c r="L650" s="643">
        <f>IFERROR(IF(B650="funkcna poziadavka",VLOOKUP(G650,MODULY_CBA!$B$3:$E$23,4,0)*H650/SUMIFS($H$3:$H$199,$G$3:$G$199,G650,$B$3:$B$199,B650),),)</f>
        <v>0</v>
      </c>
      <c r="M650" s="379">
        <f>IFERROR(IF(B650="Funkcna poziadavka",VLOOKUP(G650,MODULY_CBA!$B$3:$E$23,3,0),),)</f>
        <v>0.93499999999999994</v>
      </c>
      <c r="N650" s="379">
        <f>IFERROR(IF(B650="funkcna poziadavka",VLOOKUP(G650,MODULY_CBA!$B$3:$E$23,2,0),),)</f>
        <v>1.18</v>
      </c>
      <c r="O650" s="378">
        <f t="shared" si="45"/>
        <v>5.5164999999999997</v>
      </c>
      <c r="P650" s="377">
        <f>IFERROR(O650*VLOOKUP(G650,MODULY_CBA!$B$3:$F$23,5,0),)</f>
        <v>165.495</v>
      </c>
      <c r="Q650" s="478" t="str">
        <f>IFERROR(VLOOKUP(G650,MODULY_CBA!$B$3:$I$23,6,0),"")</f>
        <v>Inkrement 5</v>
      </c>
    </row>
    <row r="651" spans="1:17">
      <c r="A651" s="401">
        <v>649</v>
      </c>
      <c r="B651" s="401" t="s">
        <v>475</v>
      </c>
      <c r="C651" s="530" t="s">
        <v>1107</v>
      </c>
      <c r="D651" s="530" t="s">
        <v>1110</v>
      </c>
      <c r="E651" s="389"/>
      <c r="F651" s="389" t="s">
        <v>8</v>
      </c>
      <c r="G651" s="389" t="s">
        <v>265</v>
      </c>
      <c r="H651" s="379">
        <v>1</v>
      </c>
      <c r="I651" s="379">
        <v>5</v>
      </c>
      <c r="J651" s="379">
        <f t="shared" si="46"/>
        <v>1</v>
      </c>
      <c r="K651" s="379">
        <f t="shared" si="44"/>
        <v>5</v>
      </c>
      <c r="L651" s="643">
        <f>IFERROR(IF(B651="funkcna poziadavka",VLOOKUP(G651,MODULY_CBA!$B$3:$E$23,4,0)*H651/SUMIFS($H$3:$H$199,$G$3:$G$199,G651,$B$3:$B$199,B651),),)</f>
        <v>0</v>
      </c>
      <c r="M651" s="379">
        <f>IFERROR(IF(B651="Funkcna poziadavka",VLOOKUP(G651,MODULY_CBA!$B$3:$E$23,3,0),),)</f>
        <v>0.93499999999999994</v>
      </c>
      <c r="N651" s="379">
        <f>IFERROR(IF(B651="funkcna poziadavka",VLOOKUP(G651,MODULY_CBA!$B$3:$E$23,2,0),),)</f>
        <v>1.18</v>
      </c>
      <c r="O651" s="378">
        <f t="shared" si="45"/>
        <v>5.5164999999999997</v>
      </c>
      <c r="P651" s="377">
        <f>IFERROR(O651*VLOOKUP(G651,MODULY_CBA!$B$3:$F$23,5,0),)</f>
        <v>165.495</v>
      </c>
      <c r="Q651" s="478" t="str">
        <f>IFERROR(VLOOKUP(G651,MODULY_CBA!$B$3:$I$23,6,0),"")</f>
        <v>Inkrement 5</v>
      </c>
    </row>
    <row r="652" spans="1:17">
      <c r="A652" s="401">
        <v>650</v>
      </c>
      <c r="B652" s="401" t="s">
        <v>475</v>
      </c>
      <c r="C652" s="530" t="s">
        <v>1107</v>
      </c>
      <c r="D652" s="530" t="s">
        <v>1111</v>
      </c>
      <c r="E652" s="389"/>
      <c r="F652" s="389" t="s">
        <v>8</v>
      </c>
      <c r="G652" s="389" t="s">
        <v>265</v>
      </c>
      <c r="H652" s="379">
        <v>1</v>
      </c>
      <c r="I652" s="379">
        <v>5</v>
      </c>
      <c r="J652" s="379">
        <f t="shared" si="46"/>
        <v>1</v>
      </c>
      <c r="K652" s="379">
        <f t="shared" ref="K652:K715" si="47">H652*I652</f>
        <v>5</v>
      </c>
      <c r="L652" s="643">
        <f>IFERROR(IF(B652="funkcna poziadavka",VLOOKUP(G652,MODULY_CBA!$B$3:$E$23,4,0)*H652/SUMIFS($H$3:$H$199,$G$3:$G$199,G652,$B$3:$B$199,B652),),)</f>
        <v>0</v>
      </c>
      <c r="M652" s="379">
        <f>IFERROR(IF(B652="Funkcna poziadavka",VLOOKUP(G652,MODULY_CBA!$B$3:$E$23,3,0),),)</f>
        <v>0.93499999999999994</v>
      </c>
      <c r="N652" s="379">
        <f>IFERROR(IF(B652="funkcna poziadavka",VLOOKUP(G652,MODULY_CBA!$B$3:$E$23,2,0),),)</f>
        <v>1.18</v>
      </c>
      <c r="O652" s="378">
        <f t="shared" ref="O652:O715" si="48">(K652+L652)*M652*N652</f>
        <v>5.5164999999999997</v>
      </c>
      <c r="P652" s="377">
        <f>IFERROR(O652*VLOOKUP(G652,MODULY_CBA!$B$3:$F$23,5,0),)</f>
        <v>165.495</v>
      </c>
      <c r="Q652" s="478" t="str">
        <f>IFERROR(VLOOKUP(G652,MODULY_CBA!$B$3:$I$23,6,0),"")</f>
        <v>Inkrement 5</v>
      </c>
    </row>
    <row r="653" spans="1:17">
      <c r="A653" s="401">
        <v>651</v>
      </c>
      <c r="B653" s="401" t="s">
        <v>475</v>
      </c>
      <c r="C653" s="530" t="s">
        <v>1107</v>
      </c>
      <c r="D653" s="530" t="s">
        <v>1112</v>
      </c>
      <c r="E653" s="389"/>
      <c r="F653" s="389" t="s">
        <v>8</v>
      </c>
      <c r="G653" s="389" t="s">
        <v>265</v>
      </c>
      <c r="H653" s="379">
        <v>1</v>
      </c>
      <c r="I653" s="379">
        <v>5</v>
      </c>
      <c r="J653" s="379">
        <f t="shared" si="46"/>
        <v>1</v>
      </c>
      <c r="K653" s="379">
        <f t="shared" si="47"/>
        <v>5</v>
      </c>
      <c r="L653" s="643">
        <f>IFERROR(IF(B653="funkcna poziadavka",VLOOKUP(G653,MODULY_CBA!$B$3:$E$23,4,0)*H653/SUMIFS($H$3:$H$199,$G$3:$G$199,G653,$B$3:$B$199,B653),),)</f>
        <v>0</v>
      </c>
      <c r="M653" s="379">
        <f>IFERROR(IF(B653="Funkcna poziadavka",VLOOKUP(G653,MODULY_CBA!$B$3:$E$23,3,0),),)</f>
        <v>0.93499999999999994</v>
      </c>
      <c r="N653" s="379">
        <f>IFERROR(IF(B653="funkcna poziadavka",VLOOKUP(G653,MODULY_CBA!$B$3:$E$23,2,0),),)</f>
        <v>1.18</v>
      </c>
      <c r="O653" s="378">
        <f t="shared" si="48"/>
        <v>5.5164999999999997</v>
      </c>
      <c r="P653" s="377">
        <f>IFERROR(O653*VLOOKUP(G653,MODULY_CBA!$B$3:$F$23,5,0),)</f>
        <v>165.495</v>
      </c>
      <c r="Q653" s="478" t="str">
        <f>IFERROR(VLOOKUP(G653,MODULY_CBA!$B$3:$I$23,6,0),"")</f>
        <v>Inkrement 5</v>
      </c>
    </row>
    <row r="654" spans="1:17">
      <c r="A654" s="401">
        <v>652</v>
      </c>
      <c r="B654" s="401" t="s">
        <v>475</v>
      </c>
      <c r="C654" s="530" t="s">
        <v>1113</v>
      </c>
      <c r="D654" s="530" t="s">
        <v>1114</v>
      </c>
      <c r="E654" s="389"/>
      <c r="F654" s="389" t="s">
        <v>8</v>
      </c>
      <c r="G654" s="389" t="s">
        <v>265</v>
      </c>
      <c r="H654" s="379">
        <v>1</v>
      </c>
      <c r="I654" s="379">
        <v>5</v>
      </c>
      <c r="J654" s="379">
        <f t="shared" si="46"/>
        <v>1</v>
      </c>
      <c r="K654" s="379">
        <f t="shared" si="47"/>
        <v>5</v>
      </c>
      <c r="L654" s="643">
        <f>IFERROR(IF(B654="funkcna poziadavka",VLOOKUP(G654,MODULY_CBA!$B$3:$E$23,4,0)*H654/SUMIFS($H$3:$H$199,$G$3:$G$199,G654,$B$3:$B$199,B654),),)</f>
        <v>0</v>
      </c>
      <c r="M654" s="379">
        <f>IFERROR(IF(B654="Funkcna poziadavka",VLOOKUP(G654,MODULY_CBA!$B$3:$E$23,3,0),),)</f>
        <v>0.93499999999999994</v>
      </c>
      <c r="N654" s="379">
        <f>IFERROR(IF(B654="funkcna poziadavka",VLOOKUP(G654,MODULY_CBA!$B$3:$E$23,2,0),),)</f>
        <v>1.18</v>
      </c>
      <c r="O654" s="378">
        <f t="shared" si="48"/>
        <v>5.5164999999999997</v>
      </c>
      <c r="P654" s="377">
        <f>IFERROR(O654*VLOOKUP(G654,MODULY_CBA!$B$3:$F$23,5,0),)</f>
        <v>165.495</v>
      </c>
      <c r="Q654" s="478" t="str">
        <f>IFERROR(VLOOKUP(G654,MODULY_CBA!$B$3:$I$23,6,0),"")</f>
        <v>Inkrement 5</v>
      </c>
    </row>
    <row r="655" spans="1:17">
      <c r="A655" s="401">
        <v>653</v>
      </c>
      <c r="B655" s="401" t="s">
        <v>475</v>
      </c>
      <c r="C655" s="530" t="s">
        <v>1113</v>
      </c>
      <c r="D655" s="530" t="s">
        <v>1115</v>
      </c>
      <c r="E655" s="389"/>
      <c r="F655" s="389" t="s">
        <v>8</v>
      </c>
      <c r="G655" s="389" t="s">
        <v>265</v>
      </c>
      <c r="H655" s="379">
        <v>1</v>
      </c>
      <c r="I655" s="379">
        <v>5</v>
      </c>
      <c r="J655" s="379">
        <f t="shared" si="46"/>
        <v>1</v>
      </c>
      <c r="K655" s="379">
        <f t="shared" si="47"/>
        <v>5</v>
      </c>
      <c r="L655" s="643">
        <f>IFERROR(IF(B655="funkcna poziadavka",VLOOKUP(G655,MODULY_CBA!$B$3:$E$23,4,0)*H655/SUMIFS($H$3:$H$199,$G$3:$G$199,G655,$B$3:$B$199,B655),),)</f>
        <v>0</v>
      </c>
      <c r="M655" s="379">
        <f>IFERROR(IF(B655="Funkcna poziadavka",VLOOKUP(G655,MODULY_CBA!$B$3:$E$23,3,0),),)</f>
        <v>0.93499999999999994</v>
      </c>
      <c r="N655" s="379">
        <f>IFERROR(IF(B655="funkcna poziadavka",VLOOKUP(G655,MODULY_CBA!$B$3:$E$23,2,0),),)</f>
        <v>1.18</v>
      </c>
      <c r="O655" s="378">
        <f t="shared" si="48"/>
        <v>5.5164999999999997</v>
      </c>
      <c r="P655" s="377">
        <f>IFERROR(O655*VLOOKUP(G655,MODULY_CBA!$B$3:$F$23,5,0),)</f>
        <v>165.495</v>
      </c>
      <c r="Q655" s="478" t="str">
        <f>IFERROR(VLOOKUP(G655,MODULY_CBA!$B$3:$I$23,6,0),"")</f>
        <v>Inkrement 5</v>
      </c>
    </row>
    <row r="656" spans="1:17">
      <c r="A656" s="401">
        <v>654</v>
      </c>
      <c r="B656" s="401" t="s">
        <v>475</v>
      </c>
      <c r="C656" s="530" t="s">
        <v>1113</v>
      </c>
      <c r="D656" s="530" t="s">
        <v>1068</v>
      </c>
      <c r="E656" s="389"/>
      <c r="F656" s="389" t="s">
        <v>8</v>
      </c>
      <c r="G656" s="389" t="s">
        <v>265</v>
      </c>
      <c r="H656" s="379">
        <v>1</v>
      </c>
      <c r="I656" s="379">
        <v>5</v>
      </c>
      <c r="J656" s="379">
        <f t="shared" si="46"/>
        <v>1</v>
      </c>
      <c r="K656" s="379">
        <f t="shared" si="47"/>
        <v>5</v>
      </c>
      <c r="L656" s="643">
        <f>IFERROR(IF(B656="funkcna poziadavka",VLOOKUP(G656,MODULY_CBA!$B$3:$E$23,4,0)*H656/SUMIFS($H$3:$H$199,$G$3:$G$199,G656,$B$3:$B$199,B656),),)</f>
        <v>0</v>
      </c>
      <c r="M656" s="379">
        <f>IFERROR(IF(B656="Funkcna poziadavka",VLOOKUP(G656,MODULY_CBA!$B$3:$E$23,3,0),),)</f>
        <v>0.93499999999999994</v>
      </c>
      <c r="N656" s="379">
        <f>IFERROR(IF(B656="funkcna poziadavka",VLOOKUP(G656,MODULY_CBA!$B$3:$E$23,2,0),),)</f>
        <v>1.18</v>
      </c>
      <c r="O656" s="378">
        <f t="shared" si="48"/>
        <v>5.5164999999999997</v>
      </c>
      <c r="P656" s="377">
        <f>IFERROR(O656*VLOOKUP(G656,MODULY_CBA!$B$3:$F$23,5,0),)</f>
        <v>165.495</v>
      </c>
      <c r="Q656" s="478" t="str">
        <f>IFERROR(VLOOKUP(G656,MODULY_CBA!$B$3:$I$23,6,0),"")</f>
        <v>Inkrement 5</v>
      </c>
    </row>
    <row r="657" spans="1:17">
      <c r="A657" s="401">
        <v>655</v>
      </c>
      <c r="B657" s="401" t="s">
        <v>475</v>
      </c>
      <c r="C657" s="530" t="s">
        <v>1116</v>
      </c>
      <c r="D657" s="530" t="s">
        <v>1117</v>
      </c>
      <c r="E657" s="530"/>
      <c r="F657" s="389" t="s">
        <v>8</v>
      </c>
      <c r="G657" s="389" t="s">
        <v>265</v>
      </c>
      <c r="H657" s="379">
        <v>1</v>
      </c>
      <c r="I657" s="379">
        <v>5</v>
      </c>
      <c r="J657" s="379">
        <f t="shared" si="46"/>
        <v>1</v>
      </c>
      <c r="K657" s="379">
        <f t="shared" si="47"/>
        <v>5</v>
      </c>
      <c r="L657" s="643">
        <f>IFERROR(IF(B657="funkcna poziadavka",VLOOKUP(G657,MODULY_CBA!$B$3:$E$23,4,0)*H657/SUMIFS($H$3:$H$199,$G$3:$G$199,G657,$B$3:$B$199,B657),),)</f>
        <v>0</v>
      </c>
      <c r="M657" s="379">
        <f>IFERROR(IF(B657="Funkcna poziadavka",VLOOKUP(G657,MODULY_CBA!$B$3:$E$23,3,0),),)</f>
        <v>0.93499999999999994</v>
      </c>
      <c r="N657" s="379">
        <f>IFERROR(IF(B657="funkcna poziadavka",VLOOKUP(G657,MODULY_CBA!$B$3:$E$23,2,0),),)</f>
        <v>1.18</v>
      </c>
      <c r="O657" s="378">
        <f t="shared" si="48"/>
        <v>5.5164999999999997</v>
      </c>
      <c r="P657" s="377">
        <f>IFERROR(O657*VLOOKUP(G657,MODULY_CBA!$B$3:$F$23,5,0),)</f>
        <v>165.495</v>
      </c>
      <c r="Q657" s="478" t="str">
        <f>IFERROR(VLOOKUP(G657,MODULY_CBA!$B$3:$I$23,6,0),"")</f>
        <v>Inkrement 5</v>
      </c>
    </row>
    <row r="658" spans="1:17">
      <c r="A658" s="401">
        <v>656</v>
      </c>
      <c r="B658" s="401" t="s">
        <v>475</v>
      </c>
      <c r="C658" s="530" t="s">
        <v>1116</v>
      </c>
      <c r="D658" s="530" t="s">
        <v>1118</v>
      </c>
      <c r="E658" s="530"/>
      <c r="F658" s="389" t="s">
        <v>8</v>
      </c>
      <c r="G658" s="389" t="s">
        <v>265</v>
      </c>
      <c r="H658" s="379">
        <v>1</v>
      </c>
      <c r="I658" s="379">
        <v>5</v>
      </c>
      <c r="J658" s="379">
        <f t="shared" si="46"/>
        <v>1</v>
      </c>
      <c r="K658" s="379">
        <f t="shared" si="47"/>
        <v>5</v>
      </c>
      <c r="L658" s="643">
        <f>IFERROR(IF(B658="funkcna poziadavka",VLOOKUP(G658,MODULY_CBA!$B$3:$E$23,4,0)*H658/SUMIFS($H$3:$H$199,$G$3:$G$199,G658,$B$3:$B$199,B658),),)</f>
        <v>0</v>
      </c>
      <c r="M658" s="379">
        <f>IFERROR(IF(B658="Funkcna poziadavka",VLOOKUP(G658,MODULY_CBA!$B$3:$E$23,3,0),),)</f>
        <v>0.93499999999999994</v>
      </c>
      <c r="N658" s="379">
        <f>IFERROR(IF(B658="funkcna poziadavka",VLOOKUP(G658,MODULY_CBA!$B$3:$E$23,2,0),),)</f>
        <v>1.18</v>
      </c>
      <c r="O658" s="378">
        <f t="shared" si="48"/>
        <v>5.5164999999999997</v>
      </c>
      <c r="P658" s="377">
        <f>IFERROR(O658*VLOOKUP(G658,MODULY_CBA!$B$3:$F$23,5,0),)</f>
        <v>165.495</v>
      </c>
      <c r="Q658" s="478" t="str">
        <f>IFERROR(VLOOKUP(G658,MODULY_CBA!$B$3:$I$23,6,0),"")</f>
        <v>Inkrement 5</v>
      </c>
    </row>
    <row r="659" spans="1:17">
      <c r="A659" s="401">
        <v>657</v>
      </c>
      <c r="B659" s="401" t="s">
        <v>475</v>
      </c>
      <c r="C659" s="530" t="s">
        <v>1116</v>
      </c>
      <c r="D659" s="530" t="s">
        <v>1119</v>
      </c>
      <c r="E659" s="530"/>
      <c r="F659" s="389" t="s">
        <v>8</v>
      </c>
      <c r="G659" s="389" t="s">
        <v>265</v>
      </c>
      <c r="H659" s="379">
        <v>1</v>
      </c>
      <c r="I659" s="379">
        <v>5</v>
      </c>
      <c r="J659" s="379">
        <f t="shared" si="46"/>
        <v>1</v>
      </c>
      <c r="K659" s="379">
        <f t="shared" si="47"/>
        <v>5</v>
      </c>
      <c r="L659" s="643">
        <f>IFERROR(IF(B659="funkcna poziadavka",VLOOKUP(G659,MODULY_CBA!$B$3:$E$23,4,0)*H659/SUMIFS($H$3:$H$199,$G$3:$G$199,G659,$B$3:$B$199,B659),),)</f>
        <v>0</v>
      </c>
      <c r="M659" s="379">
        <f>IFERROR(IF(B659="Funkcna poziadavka",VLOOKUP(G659,MODULY_CBA!$B$3:$E$23,3,0),),)</f>
        <v>0.93499999999999994</v>
      </c>
      <c r="N659" s="379">
        <f>IFERROR(IF(B659="funkcna poziadavka",VLOOKUP(G659,MODULY_CBA!$B$3:$E$23,2,0),),)</f>
        <v>1.18</v>
      </c>
      <c r="O659" s="378">
        <f t="shared" si="48"/>
        <v>5.5164999999999997</v>
      </c>
      <c r="P659" s="377">
        <f>IFERROR(O659*VLOOKUP(G659,MODULY_CBA!$B$3:$F$23,5,0),)</f>
        <v>165.495</v>
      </c>
      <c r="Q659" s="478" t="str">
        <f>IFERROR(VLOOKUP(G659,MODULY_CBA!$B$3:$I$23,6,0),"")</f>
        <v>Inkrement 5</v>
      </c>
    </row>
    <row r="660" spans="1:17">
      <c r="A660" s="401">
        <v>658</v>
      </c>
      <c r="B660" s="401" t="s">
        <v>475</v>
      </c>
      <c r="C660" s="532" t="s">
        <v>1120</v>
      </c>
      <c r="D660" s="532" t="s">
        <v>1075</v>
      </c>
      <c r="E660" s="389"/>
      <c r="F660" s="389" t="s">
        <v>8</v>
      </c>
      <c r="G660" s="389" t="s">
        <v>265</v>
      </c>
      <c r="H660" s="379">
        <v>1</v>
      </c>
      <c r="I660" s="379">
        <v>5</v>
      </c>
      <c r="J660" s="379">
        <f t="shared" si="46"/>
        <v>1</v>
      </c>
      <c r="K660" s="379">
        <f t="shared" si="47"/>
        <v>5</v>
      </c>
      <c r="L660" s="643">
        <f>IFERROR(IF(B660="funkcna poziadavka",VLOOKUP(G660,MODULY_CBA!$B$3:$E$23,4,0)*H660/SUMIFS($H$3:$H$199,$G$3:$G$199,G660,$B$3:$B$199,B660),),)</f>
        <v>0</v>
      </c>
      <c r="M660" s="379">
        <f>IFERROR(IF(B660="Funkcna poziadavka",VLOOKUP(G660,MODULY_CBA!$B$3:$E$23,3,0),),)</f>
        <v>0.93499999999999994</v>
      </c>
      <c r="N660" s="379">
        <f>IFERROR(IF(B660="funkcna poziadavka",VLOOKUP(G660,MODULY_CBA!$B$3:$E$23,2,0),),)</f>
        <v>1.18</v>
      </c>
      <c r="O660" s="378">
        <f t="shared" si="48"/>
        <v>5.5164999999999997</v>
      </c>
      <c r="P660" s="377">
        <f>IFERROR(O660*VLOOKUP(G660,MODULY_CBA!$B$3:$F$23,5,0),)</f>
        <v>165.495</v>
      </c>
      <c r="Q660" s="478" t="str">
        <f>IFERROR(VLOOKUP(G660,MODULY_CBA!$B$3:$I$23,6,0),"")</f>
        <v>Inkrement 5</v>
      </c>
    </row>
    <row r="661" spans="1:17">
      <c r="A661" s="401">
        <v>659</v>
      </c>
      <c r="B661" s="401" t="s">
        <v>475</v>
      </c>
      <c r="C661" s="532" t="s">
        <v>1120</v>
      </c>
      <c r="D661" s="532" t="s">
        <v>1076</v>
      </c>
      <c r="E661" s="389"/>
      <c r="F661" s="389" t="s">
        <v>8</v>
      </c>
      <c r="G661" s="389" t="s">
        <v>265</v>
      </c>
      <c r="H661" s="379">
        <v>1</v>
      </c>
      <c r="I661" s="379">
        <v>5</v>
      </c>
      <c r="J661" s="379">
        <f t="shared" si="46"/>
        <v>1</v>
      </c>
      <c r="K661" s="379">
        <f t="shared" si="47"/>
        <v>5</v>
      </c>
      <c r="L661" s="643">
        <f>IFERROR(IF(B661="funkcna poziadavka",VLOOKUP(G661,MODULY_CBA!$B$3:$E$23,4,0)*H661/SUMIFS($H$3:$H$199,$G$3:$G$199,G661,$B$3:$B$199,B661),),)</f>
        <v>0</v>
      </c>
      <c r="M661" s="379">
        <f>IFERROR(IF(B661="Funkcna poziadavka",VLOOKUP(G661,MODULY_CBA!$B$3:$E$23,3,0),),)</f>
        <v>0.93499999999999994</v>
      </c>
      <c r="N661" s="379">
        <f>IFERROR(IF(B661="funkcna poziadavka",VLOOKUP(G661,MODULY_CBA!$B$3:$E$23,2,0),),)</f>
        <v>1.18</v>
      </c>
      <c r="O661" s="378">
        <f t="shared" si="48"/>
        <v>5.5164999999999997</v>
      </c>
      <c r="P661" s="377">
        <f>IFERROR(O661*VLOOKUP(G661,MODULY_CBA!$B$3:$F$23,5,0),)</f>
        <v>165.495</v>
      </c>
      <c r="Q661" s="478" t="str">
        <f>IFERROR(VLOOKUP(G661,MODULY_CBA!$B$3:$I$23,6,0),"")</f>
        <v>Inkrement 5</v>
      </c>
    </row>
    <row r="662" spans="1:17">
      <c r="A662" s="401">
        <v>660</v>
      </c>
      <c r="B662" s="401" t="s">
        <v>475</v>
      </c>
      <c r="C662" s="530" t="s">
        <v>1121</v>
      </c>
      <c r="D662" s="530" t="s">
        <v>1122</v>
      </c>
      <c r="E662" s="530"/>
      <c r="F662" s="389" t="s">
        <v>8</v>
      </c>
      <c r="G662" s="389" t="s">
        <v>265</v>
      </c>
      <c r="H662" s="379">
        <v>1</v>
      </c>
      <c r="I662" s="379">
        <v>5</v>
      </c>
      <c r="J662" s="379">
        <f t="shared" si="46"/>
        <v>1</v>
      </c>
      <c r="K662" s="379">
        <f t="shared" si="47"/>
        <v>5</v>
      </c>
      <c r="L662" s="643">
        <f>IFERROR(IF(B662="funkcna poziadavka",VLOOKUP(G662,MODULY_CBA!$B$3:$E$23,4,0)*H662/SUMIFS($H$3:$H$199,$G$3:$G$199,G662,$B$3:$B$199,B662),),)</f>
        <v>0</v>
      </c>
      <c r="M662" s="379">
        <f>IFERROR(IF(B662="Funkcna poziadavka",VLOOKUP(G662,MODULY_CBA!$B$3:$E$23,3,0),),)</f>
        <v>0.93499999999999994</v>
      </c>
      <c r="N662" s="379">
        <f>IFERROR(IF(B662="funkcna poziadavka",VLOOKUP(G662,MODULY_CBA!$B$3:$E$23,2,0),),)</f>
        <v>1.18</v>
      </c>
      <c r="O662" s="378">
        <f t="shared" si="48"/>
        <v>5.5164999999999997</v>
      </c>
      <c r="P662" s="377">
        <f>IFERROR(O662*VLOOKUP(G662,MODULY_CBA!$B$3:$F$23,5,0),)</f>
        <v>165.495</v>
      </c>
      <c r="Q662" s="478" t="str">
        <f>IFERROR(VLOOKUP(G662,MODULY_CBA!$B$3:$I$23,6,0),"")</f>
        <v>Inkrement 5</v>
      </c>
    </row>
    <row r="663" spans="1:17">
      <c r="A663" s="401">
        <v>661</v>
      </c>
      <c r="B663" s="401" t="s">
        <v>475</v>
      </c>
      <c r="C663" s="530" t="s">
        <v>1121</v>
      </c>
      <c r="D663" s="530" t="s">
        <v>1123</v>
      </c>
      <c r="E663" s="530"/>
      <c r="F663" s="389" t="s">
        <v>8</v>
      </c>
      <c r="G663" s="389" t="s">
        <v>265</v>
      </c>
      <c r="H663" s="379">
        <v>1</v>
      </c>
      <c r="I663" s="379">
        <v>5</v>
      </c>
      <c r="J663" s="379">
        <f t="shared" si="46"/>
        <v>1</v>
      </c>
      <c r="K663" s="379">
        <f t="shared" si="47"/>
        <v>5</v>
      </c>
      <c r="L663" s="643">
        <f>IFERROR(IF(B663="funkcna poziadavka",VLOOKUP(G663,MODULY_CBA!$B$3:$E$23,4,0)*H663/SUMIFS($H$3:$H$199,$G$3:$G$199,G663,$B$3:$B$199,B663),),)</f>
        <v>0</v>
      </c>
      <c r="M663" s="379">
        <f>IFERROR(IF(B663="Funkcna poziadavka",VLOOKUP(G663,MODULY_CBA!$B$3:$E$23,3,0),),)</f>
        <v>0.93499999999999994</v>
      </c>
      <c r="N663" s="379">
        <f>IFERROR(IF(B663="funkcna poziadavka",VLOOKUP(G663,MODULY_CBA!$B$3:$E$23,2,0),),)</f>
        <v>1.18</v>
      </c>
      <c r="O663" s="378">
        <f t="shared" si="48"/>
        <v>5.5164999999999997</v>
      </c>
      <c r="P663" s="377">
        <f>IFERROR(O663*VLOOKUP(G663,MODULY_CBA!$B$3:$F$23,5,0),)</f>
        <v>165.495</v>
      </c>
      <c r="Q663" s="478" t="str">
        <f>IFERROR(VLOOKUP(G663,MODULY_CBA!$B$3:$I$23,6,0),"")</f>
        <v>Inkrement 5</v>
      </c>
    </row>
    <row r="664" spans="1:17">
      <c r="A664" s="401">
        <v>662</v>
      </c>
      <c r="B664" s="401" t="s">
        <v>475</v>
      </c>
      <c r="C664" s="530" t="s">
        <v>1124</v>
      </c>
      <c r="D664" s="530" t="s">
        <v>1046</v>
      </c>
      <c r="E664" s="389"/>
      <c r="F664" s="389" t="s">
        <v>8</v>
      </c>
      <c r="G664" s="389" t="s">
        <v>265</v>
      </c>
      <c r="H664" s="379">
        <v>1</v>
      </c>
      <c r="I664" s="379">
        <v>5</v>
      </c>
      <c r="J664" s="379">
        <f t="shared" si="46"/>
        <v>1</v>
      </c>
      <c r="K664" s="379">
        <f t="shared" si="47"/>
        <v>5</v>
      </c>
      <c r="L664" s="643">
        <f>IFERROR(IF(B664="funkcna poziadavka",VLOOKUP(G664,MODULY_CBA!$B$3:$E$23,4,0)*H664/SUMIFS($H$3:$H$199,$G$3:$G$199,G664,$B$3:$B$199,B664),),)</f>
        <v>0</v>
      </c>
      <c r="M664" s="379">
        <f>IFERROR(IF(B664="Funkcna poziadavka",VLOOKUP(G664,MODULY_CBA!$B$3:$E$23,3,0),),)</f>
        <v>0.93499999999999994</v>
      </c>
      <c r="N664" s="379">
        <f>IFERROR(IF(B664="funkcna poziadavka",VLOOKUP(G664,MODULY_CBA!$B$3:$E$23,2,0),),)</f>
        <v>1.18</v>
      </c>
      <c r="O664" s="378">
        <f t="shared" si="48"/>
        <v>5.5164999999999997</v>
      </c>
      <c r="P664" s="377">
        <f>IFERROR(O664*VLOOKUP(G664,MODULY_CBA!$B$3:$F$23,5,0),)</f>
        <v>165.495</v>
      </c>
      <c r="Q664" s="478" t="str">
        <f>IFERROR(VLOOKUP(G664,MODULY_CBA!$B$3:$I$23,6,0),"")</f>
        <v>Inkrement 5</v>
      </c>
    </row>
    <row r="665" spans="1:17">
      <c r="A665" s="401">
        <v>663</v>
      </c>
      <c r="B665" s="401" t="s">
        <v>475</v>
      </c>
      <c r="C665" s="530" t="s">
        <v>1125</v>
      </c>
      <c r="D665" s="530" t="s">
        <v>1104</v>
      </c>
      <c r="E665" s="530"/>
      <c r="F665" s="389" t="s">
        <v>8</v>
      </c>
      <c r="G665" s="389" t="s">
        <v>265</v>
      </c>
      <c r="H665" s="379">
        <v>1</v>
      </c>
      <c r="I665" s="379">
        <v>5</v>
      </c>
      <c r="J665" s="379">
        <f t="shared" si="46"/>
        <v>1</v>
      </c>
      <c r="K665" s="379">
        <f t="shared" si="47"/>
        <v>5</v>
      </c>
      <c r="L665" s="643">
        <f>IFERROR(IF(B665="funkcna poziadavka",VLOOKUP(G665,MODULY_CBA!$B$3:$E$23,4,0)*H665/SUMIFS($H$3:$H$199,$G$3:$G$199,G665,$B$3:$B$199,B665),),)</f>
        <v>0</v>
      </c>
      <c r="M665" s="379">
        <f>IFERROR(IF(B665="Funkcna poziadavka",VLOOKUP(G665,MODULY_CBA!$B$3:$E$23,3,0),),)</f>
        <v>0.93499999999999994</v>
      </c>
      <c r="N665" s="379">
        <f>IFERROR(IF(B665="funkcna poziadavka",VLOOKUP(G665,MODULY_CBA!$B$3:$E$23,2,0),),)</f>
        <v>1.18</v>
      </c>
      <c r="O665" s="378">
        <f t="shared" si="48"/>
        <v>5.5164999999999997</v>
      </c>
      <c r="P665" s="377">
        <f>IFERROR(O665*VLOOKUP(G665,MODULY_CBA!$B$3:$F$23,5,0),)</f>
        <v>165.495</v>
      </c>
      <c r="Q665" s="478" t="str">
        <f>IFERROR(VLOOKUP(G665,MODULY_CBA!$B$3:$I$23,6,0),"")</f>
        <v>Inkrement 5</v>
      </c>
    </row>
    <row r="666" spans="1:17">
      <c r="A666" s="401">
        <v>664</v>
      </c>
      <c r="B666" s="401" t="s">
        <v>475</v>
      </c>
      <c r="C666" s="530" t="s">
        <v>1125</v>
      </c>
      <c r="D666" s="530" t="s">
        <v>1105</v>
      </c>
      <c r="E666" s="530"/>
      <c r="F666" s="389" t="s">
        <v>8</v>
      </c>
      <c r="G666" s="389" t="s">
        <v>265</v>
      </c>
      <c r="H666" s="379">
        <v>1</v>
      </c>
      <c r="I666" s="379">
        <v>5</v>
      </c>
      <c r="J666" s="379">
        <f t="shared" si="46"/>
        <v>1</v>
      </c>
      <c r="K666" s="379">
        <f t="shared" si="47"/>
        <v>5</v>
      </c>
      <c r="L666" s="643">
        <f>IFERROR(IF(B666="funkcna poziadavka",VLOOKUP(G666,MODULY_CBA!$B$3:$E$23,4,0)*H666/SUMIFS($H$3:$H$199,$G$3:$G$199,G666,$B$3:$B$199,B666),),)</f>
        <v>0</v>
      </c>
      <c r="M666" s="379">
        <f>IFERROR(IF(B666="Funkcna poziadavka",VLOOKUP(G666,MODULY_CBA!$B$3:$E$23,3,0),),)</f>
        <v>0.93499999999999994</v>
      </c>
      <c r="N666" s="379">
        <f>IFERROR(IF(B666="funkcna poziadavka",VLOOKUP(G666,MODULY_CBA!$B$3:$E$23,2,0),),)</f>
        <v>1.18</v>
      </c>
      <c r="O666" s="378">
        <f t="shared" si="48"/>
        <v>5.5164999999999997</v>
      </c>
      <c r="P666" s="377">
        <f>IFERROR(O666*VLOOKUP(G666,MODULY_CBA!$B$3:$F$23,5,0),)</f>
        <v>165.495</v>
      </c>
      <c r="Q666" s="478" t="str">
        <f>IFERROR(VLOOKUP(G666,MODULY_CBA!$B$3:$I$23,6,0),"")</f>
        <v>Inkrement 5</v>
      </c>
    </row>
    <row r="667" spans="1:17">
      <c r="A667" s="401">
        <v>665</v>
      </c>
      <c r="B667" s="401" t="s">
        <v>475</v>
      </c>
      <c r="C667" s="530" t="s">
        <v>1125</v>
      </c>
      <c r="D667" s="530" t="s">
        <v>1126</v>
      </c>
      <c r="E667" s="530"/>
      <c r="F667" s="389" t="s">
        <v>8</v>
      </c>
      <c r="G667" s="389" t="s">
        <v>265</v>
      </c>
      <c r="H667" s="379">
        <v>1</v>
      </c>
      <c r="I667" s="379">
        <v>5</v>
      </c>
      <c r="J667" s="379">
        <f t="shared" si="46"/>
        <v>1</v>
      </c>
      <c r="K667" s="379">
        <f t="shared" si="47"/>
        <v>5</v>
      </c>
      <c r="L667" s="643">
        <f>IFERROR(IF(B667="funkcna poziadavka",VLOOKUP(G667,MODULY_CBA!$B$3:$E$23,4,0)*H667/SUMIFS($H$3:$H$199,$G$3:$G$199,G667,$B$3:$B$199,B667),),)</f>
        <v>0</v>
      </c>
      <c r="M667" s="379">
        <f>IFERROR(IF(B667="Funkcna poziadavka",VLOOKUP(G667,MODULY_CBA!$B$3:$E$23,3,0),),)</f>
        <v>0.93499999999999994</v>
      </c>
      <c r="N667" s="379">
        <f>IFERROR(IF(B667="funkcna poziadavka",VLOOKUP(G667,MODULY_CBA!$B$3:$E$23,2,0),),)</f>
        <v>1.18</v>
      </c>
      <c r="O667" s="378">
        <f t="shared" si="48"/>
        <v>5.5164999999999997</v>
      </c>
      <c r="P667" s="377">
        <f>IFERROR(O667*VLOOKUP(G667,MODULY_CBA!$B$3:$F$23,5,0),)</f>
        <v>165.495</v>
      </c>
      <c r="Q667" s="478" t="str">
        <f>IFERROR(VLOOKUP(G667,MODULY_CBA!$B$3:$I$23,6,0),"")</f>
        <v>Inkrement 5</v>
      </c>
    </row>
    <row r="668" spans="1:17">
      <c r="A668" s="401">
        <v>666</v>
      </c>
      <c r="B668" s="401" t="s">
        <v>475</v>
      </c>
      <c r="C668" s="530" t="s">
        <v>1127</v>
      </c>
      <c r="D668" s="530" t="s">
        <v>1108</v>
      </c>
      <c r="E668" s="530"/>
      <c r="F668" s="389" t="s">
        <v>8</v>
      </c>
      <c r="G668" s="389" t="s">
        <v>265</v>
      </c>
      <c r="H668" s="379">
        <v>1</v>
      </c>
      <c r="I668" s="379">
        <v>5</v>
      </c>
      <c r="J668" s="379">
        <f t="shared" si="46"/>
        <v>1</v>
      </c>
      <c r="K668" s="379">
        <f t="shared" si="47"/>
        <v>5</v>
      </c>
      <c r="L668" s="643">
        <f>IFERROR(IF(B668="funkcna poziadavka",VLOOKUP(G668,MODULY_CBA!$B$3:$E$23,4,0)*H668/SUMIFS($H$3:$H$199,$G$3:$G$199,G668,$B$3:$B$199,B668),),)</f>
        <v>0</v>
      </c>
      <c r="M668" s="379">
        <f>IFERROR(IF(B668="Funkcna poziadavka",VLOOKUP(G668,MODULY_CBA!$B$3:$E$23,3,0),),)</f>
        <v>0.93499999999999994</v>
      </c>
      <c r="N668" s="379">
        <f>IFERROR(IF(B668="funkcna poziadavka",VLOOKUP(G668,MODULY_CBA!$B$3:$E$23,2,0),),)</f>
        <v>1.18</v>
      </c>
      <c r="O668" s="378">
        <f t="shared" si="48"/>
        <v>5.5164999999999997</v>
      </c>
      <c r="P668" s="377">
        <f>IFERROR(O668*VLOOKUP(G668,MODULY_CBA!$B$3:$F$23,5,0),)</f>
        <v>165.495</v>
      </c>
      <c r="Q668" s="478" t="str">
        <f>IFERROR(VLOOKUP(G668,MODULY_CBA!$B$3:$I$23,6,0),"")</f>
        <v>Inkrement 5</v>
      </c>
    </row>
    <row r="669" spans="1:17">
      <c r="A669" s="401">
        <v>667</v>
      </c>
      <c r="B669" s="401" t="s">
        <v>475</v>
      </c>
      <c r="C669" s="530" t="s">
        <v>1127</v>
      </c>
      <c r="D669" s="530" t="s">
        <v>1109</v>
      </c>
      <c r="E669" s="530"/>
      <c r="F669" s="389" t="s">
        <v>8</v>
      </c>
      <c r="G669" s="389" t="s">
        <v>265</v>
      </c>
      <c r="H669" s="379">
        <v>1</v>
      </c>
      <c r="I669" s="379">
        <v>5</v>
      </c>
      <c r="J669" s="379">
        <f t="shared" si="46"/>
        <v>1</v>
      </c>
      <c r="K669" s="379">
        <f t="shared" si="47"/>
        <v>5</v>
      </c>
      <c r="L669" s="643">
        <f>IFERROR(IF(B669="funkcna poziadavka",VLOOKUP(G669,MODULY_CBA!$B$3:$E$23,4,0)*H669/SUMIFS($H$3:$H$199,$G$3:$G$199,G669,$B$3:$B$199,B669),),)</f>
        <v>0</v>
      </c>
      <c r="M669" s="379">
        <f>IFERROR(IF(B669="Funkcna poziadavka",VLOOKUP(G669,MODULY_CBA!$B$3:$E$23,3,0),),)</f>
        <v>0.93499999999999994</v>
      </c>
      <c r="N669" s="379">
        <f>IFERROR(IF(B669="funkcna poziadavka",VLOOKUP(G669,MODULY_CBA!$B$3:$E$23,2,0),),)</f>
        <v>1.18</v>
      </c>
      <c r="O669" s="378">
        <f t="shared" si="48"/>
        <v>5.5164999999999997</v>
      </c>
      <c r="P669" s="377">
        <f>IFERROR(O669*VLOOKUP(G669,MODULY_CBA!$B$3:$F$23,5,0),)</f>
        <v>165.495</v>
      </c>
      <c r="Q669" s="478" t="str">
        <f>IFERROR(VLOOKUP(G669,MODULY_CBA!$B$3:$I$23,6,0),"")</f>
        <v>Inkrement 5</v>
      </c>
    </row>
    <row r="670" spans="1:17">
      <c r="A670" s="401">
        <v>668</v>
      </c>
      <c r="B670" s="401" t="s">
        <v>475</v>
      </c>
      <c r="C670" s="530" t="s">
        <v>1127</v>
      </c>
      <c r="D670" s="530" t="s">
        <v>1110</v>
      </c>
      <c r="E670" s="530"/>
      <c r="F670" s="389" t="s">
        <v>8</v>
      </c>
      <c r="G670" s="389" t="s">
        <v>265</v>
      </c>
      <c r="H670" s="379">
        <v>1</v>
      </c>
      <c r="I670" s="379">
        <v>5</v>
      </c>
      <c r="J670" s="379">
        <f t="shared" si="46"/>
        <v>1</v>
      </c>
      <c r="K670" s="379">
        <f t="shared" si="47"/>
        <v>5</v>
      </c>
      <c r="L670" s="643">
        <f>IFERROR(IF(B670="funkcna poziadavka",VLOOKUP(G670,MODULY_CBA!$B$3:$E$23,4,0)*H670/SUMIFS($H$3:$H$199,$G$3:$G$199,G670,$B$3:$B$199,B670),),)</f>
        <v>0</v>
      </c>
      <c r="M670" s="379">
        <f>IFERROR(IF(B670="Funkcna poziadavka",VLOOKUP(G670,MODULY_CBA!$B$3:$E$23,3,0),),)</f>
        <v>0.93499999999999994</v>
      </c>
      <c r="N670" s="379">
        <f>IFERROR(IF(B670="funkcna poziadavka",VLOOKUP(G670,MODULY_CBA!$B$3:$E$23,2,0),),)</f>
        <v>1.18</v>
      </c>
      <c r="O670" s="378">
        <f t="shared" si="48"/>
        <v>5.5164999999999997</v>
      </c>
      <c r="P670" s="377">
        <f>IFERROR(O670*VLOOKUP(G670,MODULY_CBA!$B$3:$F$23,5,0),)</f>
        <v>165.495</v>
      </c>
      <c r="Q670" s="478" t="str">
        <f>IFERROR(VLOOKUP(G670,MODULY_CBA!$B$3:$I$23,6,0),"")</f>
        <v>Inkrement 5</v>
      </c>
    </row>
    <row r="671" spans="1:17">
      <c r="A671" s="401">
        <v>669</v>
      </c>
      <c r="B671" s="401" t="s">
        <v>475</v>
      </c>
      <c r="C671" s="530" t="s">
        <v>1127</v>
      </c>
      <c r="D671" s="530" t="s">
        <v>1128</v>
      </c>
      <c r="E671" s="530"/>
      <c r="F671" s="389" t="s">
        <v>8</v>
      </c>
      <c r="G671" s="389" t="s">
        <v>265</v>
      </c>
      <c r="H671" s="379">
        <v>1</v>
      </c>
      <c r="I671" s="379">
        <v>5</v>
      </c>
      <c r="J671" s="379">
        <f t="shared" si="46"/>
        <v>1</v>
      </c>
      <c r="K671" s="379">
        <f t="shared" si="47"/>
        <v>5</v>
      </c>
      <c r="L671" s="643">
        <f>IFERROR(IF(B671="funkcna poziadavka",VLOOKUP(G671,MODULY_CBA!$B$3:$E$23,4,0)*H671/SUMIFS($H$3:$H$199,$G$3:$G$199,G671,$B$3:$B$199,B671),),)</f>
        <v>0</v>
      </c>
      <c r="M671" s="379">
        <f>IFERROR(IF(B671="Funkcna poziadavka",VLOOKUP(G671,MODULY_CBA!$B$3:$E$23,3,0),),)</f>
        <v>0.93499999999999994</v>
      </c>
      <c r="N671" s="379">
        <f>IFERROR(IF(B671="funkcna poziadavka",VLOOKUP(G671,MODULY_CBA!$B$3:$E$23,2,0),),)</f>
        <v>1.18</v>
      </c>
      <c r="O671" s="378">
        <f t="shared" si="48"/>
        <v>5.5164999999999997</v>
      </c>
      <c r="P671" s="377">
        <f>IFERROR(O671*VLOOKUP(G671,MODULY_CBA!$B$3:$F$23,5,0),)</f>
        <v>165.495</v>
      </c>
      <c r="Q671" s="478" t="str">
        <f>IFERROR(VLOOKUP(G671,MODULY_CBA!$B$3:$I$23,6,0),"")</f>
        <v>Inkrement 5</v>
      </c>
    </row>
    <row r="672" spans="1:17">
      <c r="A672" s="401">
        <v>670</v>
      </c>
      <c r="B672" s="401" t="s">
        <v>475</v>
      </c>
      <c r="C672" s="530" t="s">
        <v>1127</v>
      </c>
      <c r="D672" s="530" t="s">
        <v>1129</v>
      </c>
      <c r="E672" s="530"/>
      <c r="F672" s="389" t="s">
        <v>8</v>
      </c>
      <c r="G672" s="389" t="s">
        <v>265</v>
      </c>
      <c r="H672" s="379">
        <v>1</v>
      </c>
      <c r="I672" s="379">
        <v>5</v>
      </c>
      <c r="J672" s="379">
        <f t="shared" si="46"/>
        <v>1</v>
      </c>
      <c r="K672" s="379">
        <f t="shared" si="47"/>
        <v>5</v>
      </c>
      <c r="L672" s="643">
        <f>IFERROR(IF(B672="funkcna poziadavka",VLOOKUP(G672,MODULY_CBA!$B$3:$E$23,4,0)*H672/SUMIFS($H$3:$H$199,$G$3:$G$199,G672,$B$3:$B$199,B672),),)</f>
        <v>0</v>
      </c>
      <c r="M672" s="379">
        <f>IFERROR(IF(B672="Funkcna poziadavka",VLOOKUP(G672,MODULY_CBA!$B$3:$E$23,3,0),),)</f>
        <v>0.93499999999999994</v>
      </c>
      <c r="N672" s="379">
        <f>IFERROR(IF(B672="funkcna poziadavka",VLOOKUP(G672,MODULY_CBA!$B$3:$E$23,2,0),),)</f>
        <v>1.18</v>
      </c>
      <c r="O672" s="378">
        <f t="shared" si="48"/>
        <v>5.5164999999999997</v>
      </c>
      <c r="P672" s="377">
        <f>IFERROR(O672*VLOOKUP(G672,MODULY_CBA!$B$3:$F$23,5,0),)</f>
        <v>165.495</v>
      </c>
      <c r="Q672" s="478" t="str">
        <f>IFERROR(VLOOKUP(G672,MODULY_CBA!$B$3:$I$23,6,0),"")</f>
        <v>Inkrement 5</v>
      </c>
    </row>
    <row r="673" spans="1:17">
      <c r="A673" s="401">
        <v>671</v>
      </c>
      <c r="B673" s="401" t="s">
        <v>475</v>
      </c>
      <c r="C673" s="530" t="s">
        <v>1130</v>
      </c>
      <c r="D673" s="530" t="s">
        <v>1131</v>
      </c>
      <c r="E673" s="530"/>
      <c r="F673" s="389" t="s">
        <v>8</v>
      </c>
      <c r="G673" s="389" t="s">
        <v>265</v>
      </c>
      <c r="H673" s="379">
        <v>1</v>
      </c>
      <c r="I673" s="379">
        <v>5</v>
      </c>
      <c r="J673" s="379">
        <f t="shared" si="46"/>
        <v>1</v>
      </c>
      <c r="K673" s="379">
        <f t="shared" si="47"/>
        <v>5</v>
      </c>
      <c r="L673" s="643">
        <f>IFERROR(IF(B673="funkcna poziadavka",VLOOKUP(G673,MODULY_CBA!$B$3:$E$23,4,0)*H673/SUMIFS($H$3:$H$199,$G$3:$G$199,G673,$B$3:$B$199,B673),),)</f>
        <v>0</v>
      </c>
      <c r="M673" s="379">
        <f>IFERROR(IF(B673="Funkcna poziadavka",VLOOKUP(G673,MODULY_CBA!$B$3:$E$23,3,0),),)</f>
        <v>0.93499999999999994</v>
      </c>
      <c r="N673" s="379">
        <f>IFERROR(IF(B673="funkcna poziadavka",VLOOKUP(G673,MODULY_CBA!$B$3:$E$23,2,0),),)</f>
        <v>1.18</v>
      </c>
      <c r="O673" s="378">
        <f t="shared" si="48"/>
        <v>5.5164999999999997</v>
      </c>
      <c r="P673" s="377">
        <f>IFERROR(O673*VLOOKUP(G673,MODULY_CBA!$B$3:$F$23,5,0),)</f>
        <v>165.495</v>
      </c>
      <c r="Q673" s="478" t="str">
        <f>IFERROR(VLOOKUP(G673,MODULY_CBA!$B$3:$I$23,6,0),"")</f>
        <v>Inkrement 5</v>
      </c>
    </row>
    <row r="674" spans="1:17">
      <c r="A674" s="401">
        <v>672</v>
      </c>
      <c r="B674" s="401" t="s">
        <v>475</v>
      </c>
      <c r="C674" s="530" t="s">
        <v>1130</v>
      </c>
      <c r="D674" s="530" t="s">
        <v>1132</v>
      </c>
      <c r="E674" s="530"/>
      <c r="F674" s="389" t="s">
        <v>8</v>
      </c>
      <c r="G674" s="389" t="s">
        <v>265</v>
      </c>
      <c r="H674" s="379">
        <v>1</v>
      </c>
      <c r="I674" s="379">
        <v>5</v>
      </c>
      <c r="J674" s="379">
        <f t="shared" si="46"/>
        <v>1</v>
      </c>
      <c r="K674" s="379">
        <f t="shared" si="47"/>
        <v>5</v>
      </c>
      <c r="L674" s="643">
        <f>IFERROR(IF(B674="funkcna poziadavka",VLOOKUP(G674,MODULY_CBA!$B$3:$E$23,4,0)*H674/SUMIFS($H$3:$H$199,$G$3:$G$199,G674,$B$3:$B$199,B674),),)</f>
        <v>0</v>
      </c>
      <c r="M674" s="379">
        <f>IFERROR(IF(B674="Funkcna poziadavka",VLOOKUP(G674,MODULY_CBA!$B$3:$E$23,3,0),),)</f>
        <v>0.93499999999999994</v>
      </c>
      <c r="N674" s="379">
        <f>IFERROR(IF(B674="funkcna poziadavka",VLOOKUP(G674,MODULY_CBA!$B$3:$E$23,2,0),),)</f>
        <v>1.18</v>
      </c>
      <c r="O674" s="378">
        <f t="shared" si="48"/>
        <v>5.5164999999999997</v>
      </c>
      <c r="P674" s="377">
        <f>IFERROR(O674*VLOOKUP(G674,MODULY_CBA!$B$3:$F$23,5,0),)</f>
        <v>165.495</v>
      </c>
      <c r="Q674" s="478" t="str">
        <f>IFERROR(VLOOKUP(G674,MODULY_CBA!$B$3:$I$23,6,0),"")</f>
        <v>Inkrement 5</v>
      </c>
    </row>
    <row r="675" spans="1:17">
      <c r="A675" s="401">
        <v>673</v>
      </c>
      <c r="B675" s="401" t="s">
        <v>475</v>
      </c>
      <c r="C675" s="530" t="s">
        <v>1130</v>
      </c>
      <c r="D675" s="530" t="s">
        <v>1068</v>
      </c>
      <c r="E675" s="530"/>
      <c r="F675" s="389" t="s">
        <v>8</v>
      </c>
      <c r="G675" s="389" t="s">
        <v>265</v>
      </c>
      <c r="H675" s="379">
        <v>1</v>
      </c>
      <c r="I675" s="379">
        <v>5</v>
      </c>
      <c r="J675" s="379">
        <f t="shared" si="46"/>
        <v>1</v>
      </c>
      <c r="K675" s="379">
        <f t="shared" si="47"/>
        <v>5</v>
      </c>
      <c r="L675" s="643">
        <f>IFERROR(IF(B675="funkcna poziadavka",VLOOKUP(G675,MODULY_CBA!$B$3:$E$23,4,0)*H675/SUMIFS($H$3:$H$199,$G$3:$G$199,G675,$B$3:$B$199,B675),),)</f>
        <v>0</v>
      </c>
      <c r="M675" s="379">
        <f>IFERROR(IF(B675="Funkcna poziadavka",VLOOKUP(G675,MODULY_CBA!$B$3:$E$23,3,0),),)</f>
        <v>0.93499999999999994</v>
      </c>
      <c r="N675" s="379">
        <f>IFERROR(IF(B675="funkcna poziadavka",VLOOKUP(G675,MODULY_CBA!$B$3:$E$23,2,0),),)</f>
        <v>1.18</v>
      </c>
      <c r="O675" s="378">
        <f t="shared" si="48"/>
        <v>5.5164999999999997</v>
      </c>
      <c r="P675" s="377">
        <f>IFERROR(O675*VLOOKUP(G675,MODULY_CBA!$B$3:$F$23,5,0),)</f>
        <v>165.495</v>
      </c>
      <c r="Q675" s="478" t="str">
        <f>IFERROR(VLOOKUP(G675,MODULY_CBA!$B$3:$I$23,6,0),"")</f>
        <v>Inkrement 5</v>
      </c>
    </row>
    <row r="676" spans="1:17">
      <c r="A676" s="401">
        <v>674</v>
      </c>
      <c r="B676" s="401" t="s">
        <v>475</v>
      </c>
      <c r="C676" s="530" t="s">
        <v>1133</v>
      </c>
      <c r="D676" s="530" t="s">
        <v>1134</v>
      </c>
      <c r="E676" s="530"/>
      <c r="F676" s="389" t="s">
        <v>8</v>
      </c>
      <c r="G676" s="389" t="s">
        <v>265</v>
      </c>
      <c r="H676" s="379">
        <v>1</v>
      </c>
      <c r="I676" s="379">
        <v>5</v>
      </c>
      <c r="J676" s="379">
        <f t="shared" si="46"/>
        <v>1</v>
      </c>
      <c r="K676" s="379">
        <f t="shared" si="47"/>
        <v>5</v>
      </c>
      <c r="L676" s="643">
        <f>IFERROR(IF(B676="funkcna poziadavka",VLOOKUP(G676,MODULY_CBA!$B$3:$E$23,4,0)*H676/SUMIFS($H$3:$H$199,$G$3:$G$199,G676,$B$3:$B$199,B676),),)</f>
        <v>0</v>
      </c>
      <c r="M676" s="379">
        <f>IFERROR(IF(B676="Funkcna poziadavka",VLOOKUP(G676,MODULY_CBA!$B$3:$E$23,3,0),),)</f>
        <v>0.93499999999999994</v>
      </c>
      <c r="N676" s="379">
        <f>IFERROR(IF(B676="funkcna poziadavka",VLOOKUP(G676,MODULY_CBA!$B$3:$E$23,2,0),),)</f>
        <v>1.18</v>
      </c>
      <c r="O676" s="378">
        <f t="shared" si="48"/>
        <v>5.5164999999999997</v>
      </c>
      <c r="P676" s="377">
        <f>IFERROR(O676*VLOOKUP(G676,MODULY_CBA!$B$3:$F$23,5,0),)</f>
        <v>165.495</v>
      </c>
      <c r="Q676" s="478" t="str">
        <f>IFERROR(VLOOKUP(G676,MODULY_CBA!$B$3:$I$23,6,0),"")</f>
        <v>Inkrement 5</v>
      </c>
    </row>
    <row r="677" spans="1:17">
      <c r="A677" s="401">
        <v>675</v>
      </c>
      <c r="B677" s="401" t="s">
        <v>475</v>
      </c>
      <c r="C677" s="530" t="s">
        <v>1133</v>
      </c>
      <c r="D677" s="530" t="s">
        <v>1135</v>
      </c>
      <c r="E677" s="530"/>
      <c r="F677" s="389" t="s">
        <v>8</v>
      </c>
      <c r="G677" s="389" t="s">
        <v>265</v>
      </c>
      <c r="H677" s="379">
        <v>1</v>
      </c>
      <c r="I677" s="379">
        <v>5</v>
      </c>
      <c r="J677" s="379">
        <f t="shared" si="46"/>
        <v>1</v>
      </c>
      <c r="K677" s="379">
        <f t="shared" si="47"/>
        <v>5</v>
      </c>
      <c r="L677" s="643">
        <f>IFERROR(IF(B677="funkcna poziadavka",VLOOKUP(G677,MODULY_CBA!$B$3:$E$23,4,0)*H677/SUMIFS($H$3:$H$199,$G$3:$G$199,G677,$B$3:$B$199,B677),),)</f>
        <v>0</v>
      </c>
      <c r="M677" s="379">
        <f>IFERROR(IF(B677="Funkcna poziadavka",VLOOKUP(G677,MODULY_CBA!$B$3:$E$23,3,0),),)</f>
        <v>0.93499999999999994</v>
      </c>
      <c r="N677" s="379">
        <f>IFERROR(IF(B677="funkcna poziadavka",VLOOKUP(G677,MODULY_CBA!$B$3:$E$23,2,0),),)</f>
        <v>1.18</v>
      </c>
      <c r="O677" s="378">
        <f t="shared" si="48"/>
        <v>5.5164999999999997</v>
      </c>
      <c r="P677" s="377">
        <f>IFERROR(O677*VLOOKUP(G677,MODULY_CBA!$B$3:$F$23,5,0),)</f>
        <v>165.495</v>
      </c>
      <c r="Q677" s="478" t="str">
        <f>IFERROR(VLOOKUP(G677,MODULY_CBA!$B$3:$I$23,6,0),"")</f>
        <v>Inkrement 5</v>
      </c>
    </row>
    <row r="678" spans="1:17">
      <c r="A678" s="401">
        <v>676</v>
      </c>
      <c r="B678" s="401" t="s">
        <v>475</v>
      </c>
      <c r="C678" s="530" t="s">
        <v>1133</v>
      </c>
      <c r="D678" s="530" t="s">
        <v>1136</v>
      </c>
      <c r="E678" s="530"/>
      <c r="F678" s="389" t="s">
        <v>8</v>
      </c>
      <c r="G678" s="389" t="s">
        <v>265</v>
      </c>
      <c r="H678" s="379">
        <v>1</v>
      </c>
      <c r="I678" s="379">
        <v>5</v>
      </c>
      <c r="J678" s="379">
        <f t="shared" si="46"/>
        <v>1</v>
      </c>
      <c r="K678" s="379">
        <f t="shared" si="47"/>
        <v>5</v>
      </c>
      <c r="L678" s="643">
        <f>IFERROR(IF(B678="funkcna poziadavka",VLOOKUP(G678,MODULY_CBA!$B$3:$E$23,4,0)*H678/SUMIFS($H$3:$H$199,$G$3:$G$199,G678,$B$3:$B$199,B678),),)</f>
        <v>0</v>
      </c>
      <c r="M678" s="379">
        <f>IFERROR(IF(B678="Funkcna poziadavka",VLOOKUP(G678,MODULY_CBA!$B$3:$E$23,3,0),),)</f>
        <v>0.93499999999999994</v>
      </c>
      <c r="N678" s="379">
        <f>IFERROR(IF(B678="funkcna poziadavka",VLOOKUP(G678,MODULY_CBA!$B$3:$E$23,2,0),),)</f>
        <v>1.18</v>
      </c>
      <c r="O678" s="378">
        <f t="shared" si="48"/>
        <v>5.5164999999999997</v>
      </c>
      <c r="P678" s="377">
        <f>IFERROR(O678*VLOOKUP(G678,MODULY_CBA!$B$3:$F$23,5,0),)</f>
        <v>165.495</v>
      </c>
      <c r="Q678" s="478" t="str">
        <f>IFERROR(VLOOKUP(G678,MODULY_CBA!$B$3:$I$23,6,0),"")</f>
        <v>Inkrement 5</v>
      </c>
    </row>
    <row r="679" spans="1:17">
      <c r="A679" s="401">
        <v>677</v>
      </c>
      <c r="B679" s="401" t="s">
        <v>475</v>
      </c>
      <c r="C679" s="532" t="s">
        <v>1137</v>
      </c>
      <c r="D679" s="532" t="s">
        <v>1075</v>
      </c>
      <c r="E679" s="389"/>
      <c r="F679" s="389" t="s">
        <v>8</v>
      </c>
      <c r="G679" s="389" t="s">
        <v>265</v>
      </c>
      <c r="H679" s="379">
        <v>1</v>
      </c>
      <c r="I679" s="379">
        <v>5</v>
      </c>
      <c r="J679" s="379">
        <f t="shared" si="46"/>
        <v>1</v>
      </c>
      <c r="K679" s="379">
        <f t="shared" si="47"/>
        <v>5</v>
      </c>
      <c r="L679" s="643">
        <f>IFERROR(IF(B679="funkcna poziadavka",VLOOKUP(G679,MODULY_CBA!$B$3:$E$23,4,0)*H679/SUMIFS($H$3:$H$199,$G$3:$G$199,G679,$B$3:$B$199,B679),),)</f>
        <v>0</v>
      </c>
      <c r="M679" s="379">
        <f>IFERROR(IF(B679="Funkcna poziadavka",VLOOKUP(G679,MODULY_CBA!$B$3:$E$23,3,0),),)</f>
        <v>0.93499999999999994</v>
      </c>
      <c r="N679" s="379">
        <f>IFERROR(IF(B679="funkcna poziadavka",VLOOKUP(G679,MODULY_CBA!$B$3:$E$23,2,0),),)</f>
        <v>1.18</v>
      </c>
      <c r="O679" s="378">
        <f t="shared" si="48"/>
        <v>5.5164999999999997</v>
      </c>
      <c r="P679" s="377">
        <f>IFERROR(O679*VLOOKUP(G679,MODULY_CBA!$B$3:$F$23,5,0),)</f>
        <v>165.495</v>
      </c>
      <c r="Q679" s="478" t="str">
        <f>IFERROR(VLOOKUP(G679,MODULY_CBA!$B$3:$I$23,6,0),"")</f>
        <v>Inkrement 5</v>
      </c>
    </row>
    <row r="680" spans="1:17">
      <c r="A680" s="401">
        <v>678</v>
      </c>
      <c r="B680" s="401" t="s">
        <v>475</v>
      </c>
      <c r="C680" s="532" t="s">
        <v>1137</v>
      </c>
      <c r="D680" s="532" t="s">
        <v>1076</v>
      </c>
      <c r="E680" s="389"/>
      <c r="F680" s="389" t="s">
        <v>8</v>
      </c>
      <c r="G680" s="389" t="s">
        <v>265</v>
      </c>
      <c r="H680" s="379">
        <v>1</v>
      </c>
      <c r="I680" s="379">
        <v>5</v>
      </c>
      <c r="J680" s="379">
        <f t="shared" si="46"/>
        <v>1</v>
      </c>
      <c r="K680" s="379">
        <f t="shared" si="47"/>
        <v>5</v>
      </c>
      <c r="L680" s="643">
        <f>IFERROR(IF(B680="funkcna poziadavka",VLOOKUP(G680,MODULY_CBA!$B$3:$E$23,4,0)*H680/SUMIFS($H$3:$H$199,$G$3:$G$199,G680,$B$3:$B$199,B680),),)</f>
        <v>0</v>
      </c>
      <c r="M680" s="379">
        <f>IFERROR(IF(B680="Funkcna poziadavka",VLOOKUP(G680,MODULY_CBA!$B$3:$E$23,3,0),),)</f>
        <v>0.93499999999999994</v>
      </c>
      <c r="N680" s="379">
        <f>IFERROR(IF(B680="funkcna poziadavka",VLOOKUP(G680,MODULY_CBA!$B$3:$E$23,2,0),),)</f>
        <v>1.18</v>
      </c>
      <c r="O680" s="378">
        <f t="shared" si="48"/>
        <v>5.5164999999999997</v>
      </c>
      <c r="P680" s="377">
        <f>IFERROR(O680*VLOOKUP(G680,MODULY_CBA!$B$3:$F$23,5,0),)</f>
        <v>165.495</v>
      </c>
      <c r="Q680" s="478" t="str">
        <f>IFERROR(VLOOKUP(G680,MODULY_CBA!$B$3:$I$23,6,0),"")</f>
        <v>Inkrement 5</v>
      </c>
    </row>
    <row r="681" spans="1:17">
      <c r="A681" s="401">
        <v>679</v>
      </c>
      <c r="B681" s="401" t="s">
        <v>475</v>
      </c>
      <c r="C681" s="530" t="s">
        <v>1138</v>
      </c>
      <c r="D681" s="530" t="s">
        <v>1139</v>
      </c>
      <c r="E681" s="530"/>
      <c r="F681" s="389" t="s">
        <v>8</v>
      </c>
      <c r="G681" s="389" t="s">
        <v>265</v>
      </c>
      <c r="H681" s="379">
        <v>1</v>
      </c>
      <c r="I681" s="379">
        <v>5</v>
      </c>
      <c r="J681" s="379">
        <f t="shared" si="46"/>
        <v>1</v>
      </c>
      <c r="K681" s="379">
        <f t="shared" si="47"/>
        <v>5</v>
      </c>
      <c r="L681" s="643">
        <f>IFERROR(IF(B681="funkcna poziadavka",VLOOKUP(G681,MODULY_CBA!$B$3:$E$23,4,0)*H681/SUMIFS($H$3:$H$199,$G$3:$G$199,G681,$B$3:$B$199,B681),),)</f>
        <v>0</v>
      </c>
      <c r="M681" s="379">
        <f>IFERROR(IF(B681="Funkcna poziadavka",VLOOKUP(G681,MODULY_CBA!$B$3:$E$23,3,0),),)</f>
        <v>0.93499999999999994</v>
      </c>
      <c r="N681" s="379">
        <f>IFERROR(IF(B681="funkcna poziadavka",VLOOKUP(G681,MODULY_CBA!$B$3:$E$23,2,0),),)</f>
        <v>1.18</v>
      </c>
      <c r="O681" s="378">
        <f t="shared" si="48"/>
        <v>5.5164999999999997</v>
      </c>
      <c r="P681" s="377">
        <f>IFERROR(O681*VLOOKUP(G681,MODULY_CBA!$B$3:$F$23,5,0),)</f>
        <v>165.495</v>
      </c>
      <c r="Q681" s="478" t="str">
        <f>IFERROR(VLOOKUP(G681,MODULY_CBA!$B$3:$I$23,6,0),"")</f>
        <v>Inkrement 5</v>
      </c>
    </row>
    <row r="682" spans="1:17">
      <c r="A682" s="401">
        <v>680</v>
      </c>
      <c r="B682" s="401" t="s">
        <v>475</v>
      </c>
      <c r="C682" s="530" t="s">
        <v>1138</v>
      </c>
      <c r="D682" s="530" t="s">
        <v>1046</v>
      </c>
      <c r="E682" s="389"/>
      <c r="F682" s="389" t="s">
        <v>8</v>
      </c>
      <c r="G682" s="389" t="s">
        <v>265</v>
      </c>
      <c r="H682" s="379">
        <v>1</v>
      </c>
      <c r="I682" s="379">
        <v>5</v>
      </c>
      <c r="J682" s="379">
        <f t="shared" si="46"/>
        <v>1</v>
      </c>
      <c r="K682" s="379">
        <f t="shared" si="47"/>
        <v>5</v>
      </c>
      <c r="L682" s="643">
        <f>IFERROR(IF(B682="funkcna poziadavka",VLOOKUP(G682,MODULY_CBA!$B$3:$E$23,4,0)*H682/SUMIFS($H$3:$H$199,$G$3:$G$199,G682,$B$3:$B$199,B682),),)</f>
        <v>0</v>
      </c>
      <c r="M682" s="379">
        <f>IFERROR(IF(B682="Funkcna poziadavka",VLOOKUP(G682,MODULY_CBA!$B$3:$E$23,3,0),),)</f>
        <v>0.93499999999999994</v>
      </c>
      <c r="N682" s="379">
        <f>IFERROR(IF(B682="funkcna poziadavka",VLOOKUP(G682,MODULY_CBA!$B$3:$E$23,2,0),),)</f>
        <v>1.18</v>
      </c>
      <c r="O682" s="378">
        <f t="shared" si="48"/>
        <v>5.5164999999999997</v>
      </c>
      <c r="P682" s="377">
        <f>IFERROR(O682*VLOOKUP(G682,MODULY_CBA!$B$3:$F$23,5,0),)</f>
        <v>165.495</v>
      </c>
      <c r="Q682" s="478" t="str">
        <f>IFERROR(VLOOKUP(G682,MODULY_CBA!$B$3:$I$23,6,0),"")</f>
        <v>Inkrement 5</v>
      </c>
    </row>
    <row r="683" spans="1:17">
      <c r="A683" s="401">
        <v>681</v>
      </c>
      <c r="B683" s="401" t="s">
        <v>475</v>
      </c>
      <c r="C683" s="530" t="s">
        <v>1140</v>
      </c>
      <c r="D683" s="530" t="s">
        <v>1141</v>
      </c>
      <c r="E683" s="530"/>
      <c r="F683" s="389" t="s">
        <v>8</v>
      </c>
      <c r="G683" s="389" t="s">
        <v>265</v>
      </c>
      <c r="H683" s="379">
        <v>1</v>
      </c>
      <c r="I683" s="379">
        <v>5</v>
      </c>
      <c r="J683" s="379">
        <f t="shared" si="46"/>
        <v>1</v>
      </c>
      <c r="K683" s="379">
        <f t="shared" si="47"/>
        <v>5</v>
      </c>
      <c r="L683" s="643">
        <f>IFERROR(IF(B683="funkcna poziadavka",VLOOKUP(G683,MODULY_CBA!$B$3:$E$23,4,0)*H683/SUMIFS($H$3:$H$199,$G$3:$G$199,G683,$B$3:$B$199,B683),),)</f>
        <v>0</v>
      </c>
      <c r="M683" s="379">
        <f>IFERROR(IF(B683="Funkcna poziadavka",VLOOKUP(G683,MODULY_CBA!$B$3:$E$23,3,0),),)</f>
        <v>0.93499999999999994</v>
      </c>
      <c r="N683" s="379">
        <f>IFERROR(IF(B683="funkcna poziadavka",VLOOKUP(G683,MODULY_CBA!$B$3:$E$23,2,0),),)</f>
        <v>1.18</v>
      </c>
      <c r="O683" s="378">
        <f t="shared" si="48"/>
        <v>5.5164999999999997</v>
      </c>
      <c r="P683" s="377">
        <f>IFERROR(O683*VLOOKUP(G683,MODULY_CBA!$B$3:$F$23,5,0),)</f>
        <v>165.495</v>
      </c>
      <c r="Q683" s="478" t="str">
        <f>IFERROR(VLOOKUP(G683,MODULY_CBA!$B$3:$I$23,6,0),"")</f>
        <v>Inkrement 5</v>
      </c>
    </row>
    <row r="684" spans="1:17">
      <c r="A684" s="401">
        <v>682</v>
      </c>
      <c r="B684" s="401" t="s">
        <v>475</v>
      </c>
      <c r="C684" s="530" t="s">
        <v>1142</v>
      </c>
      <c r="D684" s="530" t="s">
        <v>1143</v>
      </c>
      <c r="E684" s="530"/>
      <c r="F684" s="389" t="s">
        <v>8</v>
      </c>
      <c r="G684" s="389" t="s">
        <v>265</v>
      </c>
      <c r="H684" s="379">
        <v>1</v>
      </c>
      <c r="I684" s="379">
        <v>5</v>
      </c>
      <c r="J684" s="379">
        <f t="shared" si="46"/>
        <v>1</v>
      </c>
      <c r="K684" s="379">
        <f t="shared" si="47"/>
        <v>5</v>
      </c>
      <c r="L684" s="643">
        <f>IFERROR(IF(B684="funkcna poziadavka",VLOOKUP(G684,MODULY_CBA!$B$3:$E$23,4,0)*H684/SUMIFS($H$3:$H$199,$G$3:$G$199,G684,$B$3:$B$199,B684),),)</f>
        <v>0</v>
      </c>
      <c r="M684" s="379">
        <f>IFERROR(IF(B684="Funkcna poziadavka",VLOOKUP(G684,MODULY_CBA!$B$3:$E$23,3,0),),)</f>
        <v>0.93499999999999994</v>
      </c>
      <c r="N684" s="379">
        <f>IFERROR(IF(B684="funkcna poziadavka",VLOOKUP(G684,MODULY_CBA!$B$3:$E$23,2,0),),)</f>
        <v>1.18</v>
      </c>
      <c r="O684" s="378">
        <f t="shared" si="48"/>
        <v>5.5164999999999997</v>
      </c>
      <c r="P684" s="377">
        <f>IFERROR(O684*VLOOKUP(G684,MODULY_CBA!$B$3:$F$23,5,0),)</f>
        <v>165.495</v>
      </c>
      <c r="Q684" s="478" t="str">
        <f>IFERROR(VLOOKUP(G684,MODULY_CBA!$B$3:$I$23,6,0),"")</f>
        <v>Inkrement 5</v>
      </c>
    </row>
    <row r="685" spans="1:17">
      <c r="A685" s="401">
        <v>683</v>
      </c>
      <c r="B685" s="401" t="s">
        <v>475</v>
      </c>
      <c r="C685" s="530" t="s">
        <v>1142</v>
      </c>
      <c r="D685" s="530" t="s">
        <v>1144</v>
      </c>
      <c r="E685" s="530"/>
      <c r="F685" s="389" t="s">
        <v>8</v>
      </c>
      <c r="G685" s="389" t="s">
        <v>265</v>
      </c>
      <c r="H685" s="379">
        <v>1</v>
      </c>
      <c r="I685" s="379">
        <v>5</v>
      </c>
      <c r="J685" s="379">
        <f t="shared" si="46"/>
        <v>1</v>
      </c>
      <c r="K685" s="379">
        <f t="shared" si="47"/>
        <v>5</v>
      </c>
      <c r="L685" s="643">
        <f>IFERROR(IF(B685="funkcna poziadavka",VLOOKUP(G685,MODULY_CBA!$B$3:$E$23,4,0)*H685/SUMIFS($H$3:$H$199,$G$3:$G$199,G685,$B$3:$B$199,B685),),)</f>
        <v>0</v>
      </c>
      <c r="M685" s="379">
        <f>IFERROR(IF(B685="Funkcna poziadavka",VLOOKUP(G685,MODULY_CBA!$B$3:$E$23,3,0),),)</f>
        <v>0.93499999999999994</v>
      </c>
      <c r="N685" s="379">
        <f>IFERROR(IF(B685="funkcna poziadavka",VLOOKUP(G685,MODULY_CBA!$B$3:$E$23,2,0),),)</f>
        <v>1.18</v>
      </c>
      <c r="O685" s="378">
        <f t="shared" si="48"/>
        <v>5.5164999999999997</v>
      </c>
      <c r="P685" s="377">
        <f>IFERROR(O685*VLOOKUP(G685,MODULY_CBA!$B$3:$F$23,5,0),)</f>
        <v>165.495</v>
      </c>
      <c r="Q685" s="478" t="str">
        <f>IFERROR(VLOOKUP(G685,MODULY_CBA!$B$3:$I$23,6,0),"")</f>
        <v>Inkrement 5</v>
      </c>
    </row>
    <row r="686" spans="1:17">
      <c r="A686" s="401">
        <v>684</v>
      </c>
      <c r="B686" s="401" t="s">
        <v>475</v>
      </c>
      <c r="C686" s="530" t="s">
        <v>1145</v>
      </c>
      <c r="D686" s="530" t="s">
        <v>1068</v>
      </c>
      <c r="E686" s="389"/>
      <c r="F686" s="389" t="s">
        <v>8</v>
      </c>
      <c r="G686" s="389" t="s">
        <v>265</v>
      </c>
      <c r="H686" s="379">
        <v>1</v>
      </c>
      <c r="I686" s="379">
        <v>5</v>
      </c>
      <c r="J686" s="379">
        <f t="shared" si="46"/>
        <v>1</v>
      </c>
      <c r="K686" s="379">
        <f t="shared" si="47"/>
        <v>5</v>
      </c>
      <c r="L686" s="643">
        <f>IFERROR(IF(B686="funkcna poziadavka",VLOOKUP(G686,MODULY_CBA!$B$3:$E$23,4,0)*H686/SUMIFS($H$3:$H$199,$G$3:$G$199,G686,$B$3:$B$199,B686),),)</f>
        <v>0</v>
      </c>
      <c r="M686" s="379">
        <f>IFERROR(IF(B686="Funkcna poziadavka",VLOOKUP(G686,MODULY_CBA!$B$3:$E$23,3,0),),)</f>
        <v>0.93499999999999994</v>
      </c>
      <c r="N686" s="379">
        <f>IFERROR(IF(B686="funkcna poziadavka",VLOOKUP(G686,MODULY_CBA!$B$3:$E$23,2,0),),)</f>
        <v>1.18</v>
      </c>
      <c r="O686" s="378">
        <f t="shared" si="48"/>
        <v>5.5164999999999997</v>
      </c>
      <c r="P686" s="377">
        <f>IFERROR(O686*VLOOKUP(G686,MODULY_CBA!$B$3:$F$23,5,0),)</f>
        <v>165.495</v>
      </c>
      <c r="Q686" s="478" t="str">
        <f>IFERROR(VLOOKUP(G686,MODULY_CBA!$B$3:$I$23,6,0),"")</f>
        <v>Inkrement 5</v>
      </c>
    </row>
    <row r="687" spans="1:17">
      <c r="A687" s="401">
        <v>685</v>
      </c>
      <c r="B687" s="401" t="s">
        <v>475</v>
      </c>
      <c r="C687" s="530" t="s">
        <v>1145</v>
      </c>
      <c r="D687" s="530" t="s">
        <v>1069</v>
      </c>
      <c r="E687" s="389"/>
      <c r="F687" s="389" t="s">
        <v>8</v>
      </c>
      <c r="G687" s="389" t="s">
        <v>265</v>
      </c>
      <c r="H687" s="379">
        <v>1</v>
      </c>
      <c r="I687" s="379">
        <v>5</v>
      </c>
      <c r="J687" s="379">
        <f t="shared" si="46"/>
        <v>1</v>
      </c>
      <c r="K687" s="379">
        <f t="shared" si="47"/>
        <v>5</v>
      </c>
      <c r="L687" s="643">
        <f>IFERROR(IF(B687="funkcna poziadavka",VLOOKUP(G687,MODULY_CBA!$B$3:$E$23,4,0)*H687/SUMIFS($H$3:$H$199,$G$3:$G$199,G687,$B$3:$B$199,B687),),)</f>
        <v>0</v>
      </c>
      <c r="M687" s="379">
        <f>IFERROR(IF(B687="Funkcna poziadavka",VLOOKUP(G687,MODULY_CBA!$B$3:$E$23,3,0),),)</f>
        <v>0.93499999999999994</v>
      </c>
      <c r="N687" s="379">
        <f>IFERROR(IF(B687="funkcna poziadavka",VLOOKUP(G687,MODULY_CBA!$B$3:$E$23,2,0),),)</f>
        <v>1.18</v>
      </c>
      <c r="O687" s="378">
        <f t="shared" si="48"/>
        <v>5.5164999999999997</v>
      </c>
      <c r="P687" s="377">
        <f>IFERROR(O687*VLOOKUP(G687,MODULY_CBA!$B$3:$F$23,5,0),)</f>
        <v>165.495</v>
      </c>
      <c r="Q687" s="478" t="str">
        <f>IFERROR(VLOOKUP(G687,MODULY_CBA!$B$3:$I$23,6,0),"")</f>
        <v>Inkrement 5</v>
      </c>
    </row>
    <row r="688" spans="1:17">
      <c r="A688" s="401">
        <v>686</v>
      </c>
      <c r="B688" s="401" t="s">
        <v>475</v>
      </c>
      <c r="C688" s="530" t="s">
        <v>1145</v>
      </c>
      <c r="D688" s="530" t="s">
        <v>1070</v>
      </c>
      <c r="E688" s="389"/>
      <c r="F688" s="389" t="s">
        <v>8</v>
      </c>
      <c r="G688" s="389" t="s">
        <v>265</v>
      </c>
      <c r="H688" s="379">
        <v>1</v>
      </c>
      <c r="I688" s="379">
        <v>5</v>
      </c>
      <c r="J688" s="379">
        <f t="shared" si="46"/>
        <v>1</v>
      </c>
      <c r="K688" s="379">
        <f t="shared" si="47"/>
        <v>5</v>
      </c>
      <c r="L688" s="643">
        <f>IFERROR(IF(B688="funkcna poziadavka",VLOOKUP(G688,MODULY_CBA!$B$3:$E$23,4,0)*H688/SUMIFS($H$3:$H$199,$G$3:$G$199,G688,$B$3:$B$199,B688),),)</f>
        <v>0</v>
      </c>
      <c r="M688" s="379">
        <f>IFERROR(IF(B688="Funkcna poziadavka",VLOOKUP(G688,MODULY_CBA!$B$3:$E$23,3,0),),)</f>
        <v>0.93499999999999994</v>
      </c>
      <c r="N688" s="379">
        <f>IFERROR(IF(B688="funkcna poziadavka",VLOOKUP(G688,MODULY_CBA!$B$3:$E$23,2,0),),)</f>
        <v>1.18</v>
      </c>
      <c r="O688" s="378">
        <f t="shared" si="48"/>
        <v>5.5164999999999997</v>
      </c>
      <c r="P688" s="377">
        <f>IFERROR(O688*VLOOKUP(G688,MODULY_CBA!$B$3:$F$23,5,0),)</f>
        <v>165.495</v>
      </c>
      <c r="Q688" s="478" t="str">
        <f>IFERROR(VLOOKUP(G688,MODULY_CBA!$B$3:$I$23,6,0),"")</f>
        <v>Inkrement 5</v>
      </c>
    </row>
    <row r="689" spans="1:17">
      <c r="A689" s="401">
        <v>687</v>
      </c>
      <c r="B689" s="401" t="s">
        <v>475</v>
      </c>
      <c r="C689" s="530" t="s">
        <v>1146</v>
      </c>
      <c r="D689" s="530" t="s">
        <v>1147</v>
      </c>
      <c r="E689" s="530"/>
      <c r="F689" s="389" t="s">
        <v>8</v>
      </c>
      <c r="G689" s="389" t="s">
        <v>265</v>
      </c>
      <c r="H689" s="379">
        <v>1</v>
      </c>
      <c r="I689" s="379">
        <v>5</v>
      </c>
      <c r="J689" s="379">
        <f t="shared" si="46"/>
        <v>1</v>
      </c>
      <c r="K689" s="379">
        <f t="shared" si="47"/>
        <v>5</v>
      </c>
      <c r="L689" s="643">
        <f>IFERROR(IF(B689="funkcna poziadavka",VLOOKUP(G689,MODULY_CBA!$B$3:$E$23,4,0)*H689/SUMIFS($H$3:$H$199,$G$3:$G$199,G689,$B$3:$B$199,B689),),)</f>
        <v>0</v>
      </c>
      <c r="M689" s="379">
        <f>IFERROR(IF(B689="Funkcna poziadavka",VLOOKUP(G689,MODULY_CBA!$B$3:$E$23,3,0),),)</f>
        <v>0.93499999999999994</v>
      </c>
      <c r="N689" s="379">
        <f>IFERROR(IF(B689="funkcna poziadavka",VLOOKUP(G689,MODULY_CBA!$B$3:$E$23,2,0),),)</f>
        <v>1.18</v>
      </c>
      <c r="O689" s="378">
        <f t="shared" si="48"/>
        <v>5.5164999999999997</v>
      </c>
      <c r="P689" s="377">
        <f>IFERROR(O689*VLOOKUP(G689,MODULY_CBA!$B$3:$F$23,5,0),)</f>
        <v>165.495</v>
      </c>
      <c r="Q689" s="478" t="str">
        <f>IFERROR(VLOOKUP(G689,MODULY_CBA!$B$3:$I$23,6,0),"")</f>
        <v>Inkrement 5</v>
      </c>
    </row>
    <row r="690" spans="1:17">
      <c r="A690" s="401">
        <v>688</v>
      </c>
      <c r="B690" s="401" t="s">
        <v>475</v>
      </c>
      <c r="C690" s="532" t="s">
        <v>1148</v>
      </c>
      <c r="D690" s="532" t="s">
        <v>1075</v>
      </c>
      <c r="E690" s="389"/>
      <c r="F690" s="389" t="s">
        <v>8</v>
      </c>
      <c r="G690" s="389" t="s">
        <v>265</v>
      </c>
      <c r="H690" s="379">
        <v>1</v>
      </c>
      <c r="I690" s="379">
        <v>5</v>
      </c>
      <c r="J690" s="379">
        <f t="shared" si="46"/>
        <v>1</v>
      </c>
      <c r="K690" s="379">
        <f t="shared" si="47"/>
        <v>5</v>
      </c>
      <c r="L690" s="643">
        <f>IFERROR(IF(B690="funkcna poziadavka",VLOOKUP(G690,MODULY_CBA!$B$3:$E$23,4,0)*H690/SUMIFS($H$3:$H$199,$G$3:$G$199,G690,$B$3:$B$199,B690),),)</f>
        <v>0</v>
      </c>
      <c r="M690" s="379">
        <f>IFERROR(IF(B690="Funkcna poziadavka",VLOOKUP(G690,MODULY_CBA!$B$3:$E$23,3,0),),)</f>
        <v>0.93499999999999994</v>
      </c>
      <c r="N690" s="379">
        <f>IFERROR(IF(B690="funkcna poziadavka",VLOOKUP(G690,MODULY_CBA!$B$3:$E$23,2,0),),)</f>
        <v>1.18</v>
      </c>
      <c r="O690" s="378">
        <f t="shared" si="48"/>
        <v>5.5164999999999997</v>
      </c>
      <c r="P690" s="377">
        <f>IFERROR(O690*VLOOKUP(G690,MODULY_CBA!$B$3:$F$23,5,0),)</f>
        <v>165.495</v>
      </c>
      <c r="Q690" s="478" t="str">
        <f>IFERROR(VLOOKUP(G690,MODULY_CBA!$B$3:$I$23,6,0),"")</f>
        <v>Inkrement 5</v>
      </c>
    </row>
    <row r="691" spans="1:17">
      <c r="A691" s="401">
        <v>689</v>
      </c>
      <c r="B691" s="401" t="s">
        <v>475</v>
      </c>
      <c r="C691" s="532" t="s">
        <v>1148</v>
      </c>
      <c r="D691" s="532" t="s">
        <v>1076</v>
      </c>
      <c r="E691" s="389"/>
      <c r="F691" s="389" t="s">
        <v>8</v>
      </c>
      <c r="G691" s="389" t="s">
        <v>265</v>
      </c>
      <c r="H691" s="379">
        <v>1</v>
      </c>
      <c r="I691" s="379">
        <v>5</v>
      </c>
      <c r="J691" s="379">
        <f t="shared" si="46"/>
        <v>1</v>
      </c>
      <c r="K691" s="379">
        <f t="shared" si="47"/>
        <v>5</v>
      </c>
      <c r="L691" s="643">
        <f>IFERROR(IF(B691="funkcna poziadavka",VLOOKUP(G691,MODULY_CBA!$B$3:$E$23,4,0)*H691/SUMIFS($H$3:$H$199,$G$3:$G$199,G691,$B$3:$B$199,B691),),)</f>
        <v>0</v>
      </c>
      <c r="M691" s="379">
        <f>IFERROR(IF(B691="Funkcna poziadavka",VLOOKUP(G691,MODULY_CBA!$B$3:$E$23,3,0),),)</f>
        <v>0.93499999999999994</v>
      </c>
      <c r="N691" s="379">
        <f>IFERROR(IF(B691="funkcna poziadavka",VLOOKUP(G691,MODULY_CBA!$B$3:$E$23,2,0),),)</f>
        <v>1.18</v>
      </c>
      <c r="O691" s="378">
        <f t="shared" si="48"/>
        <v>5.5164999999999997</v>
      </c>
      <c r="P691" s="377">
        <f>IFERROR(O691*VLOOKUP(G691,MODULY_CBA!$B$3:$F$23,5,0),)</f>
        <v>165.495</v>
      </c>
      <c r="Q691" s="478" t="str">
        <f>IFERROR(VLOOKUP(G691,MODULY_CBA!$B$3:$I$23,6,0),"")</f>
        <v>Inkrement 5</v>
      </c>
    </row>
    <row r="692" spans="1:17">
      <c r="A692" s="401">
        <v>690</v>
      </c>
      <c r="B692" s="401" t="s">
        <v>475</v>
      </c>
      <c r="C692" s="530" t="s">
        <v>1149</v>
      </c>
      <c r="D692" s="530" t="s">
        <v>1150</v>
      </c>
      <c r="E692" s="530"/>
      <c r="F692" s="389" t="s">
        <v>8</v>
      </c>
      <c r="G692" s="389" t="s">
        <v>265</v>
      </c>
      <c r="H692" s="379">
        <v>1</v>
      </c>
      <c r="I692" s="379">
        <v>5</v>
      </c>
      <c r="J692" s="379">
        <f t="shared" si="46"/>
        <v>1</v>
      </c>
      <c r="K692" s="379">
        <f t="shared" si="47"/>
        <v>5</v>
      </c>
      <c r="L692" s="643">
        <f>IFERROR(IF(B692="funkcna poziadavka",VLOOKUP(G692,MODULY_CBA!$B$3:$E$23,4,0)*H692/SUMIFS($H$3:$H$199,$G$3:$G$199,G692,$B$3:$B$199,B692),),)</f>
        <v>0</v>
      </c>
      <c r="M692" s="379">
        <f>IFERROR(IF(B692="Funkcna poziadavka",VLOOKUP(G692,MODULY_CBA!$B$3:$E$23,3,0),),)</f>
        <v>0.93499999999999994</v>
      </c>
      <c r="N692" s="379">
        <f>IFERROR(IF(B692="funkcna poziadavka",VLOOKUP(G692,MODULY_CBA!$B$3:$E$23,2,0),),)</f>
        <v>1.18</v>
      </c>
      <c r="O692" s="378">
        <f t="shared" si="48"/>
        <v>5.5164999999999997</v>
      </c>
      <c r="P692" s="377">
        <f>IFERROR(O692*VLOOKUP(G692,MODULY_CBA!$B$3:$F$23,5,0),)</f>
        <v>165.495</v>
      </c>
      <c r="Q692" s="478" t="str">
        <f>IFERROR(VLOOKUP(G692,MODULY_CBA!$B$3:$I$23,6,0),"")</f>
        <v>Inkrement 5</v>
      </c>
    </row>
    <row r="693" spans="1:17">
      <c r="A693" s="401">
        <v>691</v>
      </c>
      <c r="B693" s="401" t="s">
        <v>475</v>
      </c>
      <c r="C693" s="530" t="s">
        <v>1149</v>
      </c>
      <c r="D693" s="530" t="s">
        <v>1046</v>
      </c>
      <c r="E693" s="389"/>
      <c r="F693" s="389" t="s">
        <v>8</v>
      </c>
      <c r="G693" s="389" t="s">
        <v>265</v>
      </c>
      <c r="H693" s="379">
        <v>1</v>
      </c>
      <c r="I693" s="379">
        <v>5</v>
      </c>
      <c r="J693" s="379">
        <f t="shared" si="46"/>
        <v>1</v>
      </c>
      <c r="K693" s="379">
        <f t="shared" si="47"/>
        <v>5</v>
      </c>
      <c r="L693" s="643">
        <f>IFERROR(IF(B693="funkcna poziadavka",VLOOKUP(G693,MODULY_CBA!$B$3:$E$23,4,0)*H693/SUMIFS($H$3:$H$199,$G$3:$G$199,G693,$B$3:$B$199,B693),),)</f>
        <v>0</v>
      </c>
      <c r="M693" s="379">
        <f>IFERROR(IF(B693="Funkcna poziadavka",VLOOKUP(G693,MODULY_CBA!$B$3:$E$23,3,0),),)</f>
        <v>0.93499999999999994</v>
      </c>
      <c r="N693" s="379">
        <f>IFERROR(IF(B693="funkcna poziadavka",VLOOKUP(G693,MODULY_CBA!$B$3:$E$23,2,0),),)</f>
        <v>1.18</v>
      </c>
      <c r="O693" s="378">
        <f t="shared" si="48"/>
        <v>5.5164999999999997</v>
      </c>
      <c r="P693" s="377">
        <f>IFERROR(O693*VLOOKUP(G693,MODULY_CBA!$B$3:$F$23,5,0),)</f>
        <v>165.495</v>
      </c>
      <c r="Q693" s="478" t="str">
        <f>IFERROR(VLOOKUP(G693,MODULY_CBA!$B$3:$I$23,6,0),"")</f>
        <v>Inkrement 5</v>
      </c>
    </row>
    <row r="694" spans="1:17">
      <c r="A694" s="401">
        <v>692</v>
      </c>
      <c r="B694" s="401" t="s">
        <v>475</v>
      </c>
      <c r="C694" s="530" t="s">
        <v>1151</v>
      </c>
      <c r="D694" s="530" t="s">
        <v>1152</v>
      </c>
      <c r="E694" s="530"/>
      <c r="F694" s="389" t="s">
        <v>8</v>
      </c>
      <c r="G694" s="389" t="s">
        <v>265</v>
      </c>
      <c r="H694" s="379">
        <v>1</v>
      </c>
      <c r="I694" s="379">
        <v>5</v>
      </c>
      <c r="J694" s="379">
        <f t="shared" si="46"/>
        <v>1</v>
      </c>
      <c r="K694" s="379">
        <f t="shared" si="47"/>
        <v>5</v>
      </c>
      <c r="L694" s="643">
        <f>IFERROR(IF(B694="funkcna poziadavka",VLOOKUP(G694,MODULY_CBA!$B$3:$E$23,4,0)*H694/SUMIFS($H$3:$H$199,$G$3:$G$199,G694,$B$3:$B$199,B694),),)</f>
        <v>0</v>
      </c>
      <c r="M694" s="379">
        <f>IFERROR(IF(B694="Funkcna poziadavka",VLOOKUP(G694,MODULY_CBA!$B$3:$E$23,3,0),),)</f>
        <v>0.93499999999999994</v>
      </c>
      <c r="N694" s="379">
        <f>IFERROR(IF(B694="funkcna poziadavka",VLOOKUP(G694,MODULY_CBA!$B$3:$E$23,2,0),),)</f>
        <v>1.18</v>
      </c>
      <c r="O694" s="378">
        <f t="shared" si="48"/>
        <v>5.5164999999999997</v>
      </c>
      <c r="P694" s="377">
        <f>IFERROR(O694*VLOOKUP(G694,MODULY_CBA!$B$3:$F$23,5,0),)</f>
        <v>165.495</v>
      </c>
      <c r="Q694" s="478" t="str">
        <f>IFERROR(VLOOKUP(G694,MODULY_CBA!$B$3:$I$23,6,0),"")</f>
        <v>Inkrement 5</v>
      </c>
    </row>
    <row r="695" spans="1:17">
      <c r="A695" s="401">
        <v>693</v>
      </c>
      <c r="B695" s="401" t="s">
        <v>475</v>
      </c>
      <c r="C695" s="530" t="s">
        <v>1151</v>
      </c>
      <c r="D695" s="530" t="s">
        <v>1153</v>
      </c>
      <c r="E695" s="530"/>
      <c r="F695" s="389" t="s">
        <v>8</v>
      </c>
      <c r="G695" s="389" t="s">
        <v>265</v>
      </c>
      <c r="H695" s="379">
        <v>1</v>
      </c>
      <c r="I695" s="379">
        <v>5</v>
      </c>
      <c r="J695" s="379">
        <f t="shared" si="46"/>
        <v>1</v>
      </c>
      <c r="K695" s="379">
        <f t="shared" si="47"/>
        <v>5</v>
      </c>
      <c r="L695" s="643">
        <f>IFERROR(IF(B695="funkcna poziadavka",VLOOKUP(G695,MODULY_CBA!$B$3:$E$23,4,0)*H695/SUMIFS($H$3:$H$199,$G$3:$G$199,G695,$B$3:$B$199,B695),),)</f>
        <v>0</v>
      </c>
      <c r="M695" s="379">
        <f>IFERROR(IF(B695="Funkcna poziadavka",VLOOKUP(G695,MODULY_CBA!$B$3:$E$23,3,0),),)</f>
        <v>0.93499999999999994</v>
      </c>
      <c r="N695" s="379">
        <f>IFERROR(IF(B695="funkcna poziadavka",VLOOKUP(G695,MODULY_CBA!$B$3:$E$23,2,0),),)</f>
        <v>1.18</v>
      </c>
      <c r="O695" s="378">
        <f t="shared" si="48"/>
        <v>5.5164999999999997</v>
      </c>
      <c r="P695" s="377">
        <f>IFERROR(O695*VLOOKUP(G695,MODULY_CBA!$B$3:$F$23,5,0),)</f>
        <v>165.495</v>
      </c>
      <c r="Q695" s="478" t="str">
        <f>IFERROR(VLOOKUP(G695,MODULY_CBA!$B$3:$I$23,6,0),"")</f>
        <v>Inkrement 5</v>
      </c>
    </row>
    <row r="696" spans="1:17">
      <c r="A696" s="401">
        <v>694</v>
      </c>
      <c r="B696" s="401" t="s">
        <v>475</v>
      </c>
      <c r="C696" s="530" t="s">
        <v>1154</v>
      </c>
      <c r="D696" s="530" t="s">
        <v>1155</v>
      </c>
      <c r="E696" s="530"/>
      <c r="F696" s="389" t="s">
        <v>8</v>
      </c>
      <c r="G696" s="389" t="s">
        <v>265</v>
      </c>
      <c r="H696" s="379">
        <v>1</v>
      </c>
      <c r="I696" s="379">
        <v>5</v>
      </c>
      <c r="J696" s="379">
        <f t="shared" si="46"/>
        <v>1</v>
      </c>
      <c r="K696" s="379">
        <f t="shared" si="47"/>
        <v>5</v>
      </c>
      <c r="L696" s="643">
        <f>IFERROR(IF(B696="funkcna poziadavka",VLOOKUP(G696,MODULY_CBA!$B$3:$E$23,4,0)*H696/SUMIFS($H$3:$H$199,$G$3:$G$199,G696,$B$3:$B$199,B696),),)</f>
        <v>0</v>
      </c>
      <c r="M696" s="379">
        <f>IFERROR(IF(B696="Funkcna poziadavka",VLOOKUP(G696,MODULY_CBA!$B$3:$E$23,3,0),),)</f>
        <v>0.93499999999999994</v>
      </c>
      <c r="N696" s="379">
        <f>IFERROR(IF(B696="funkcna poziadavka",VLOOKUP(G696,MODULY_CBA!$B$3:$E$23,2,0),),)</f>
        <v>1.18</v>
      </c>
      <c r="O696" s="378">
        <f t="shared" si="48"/>
        <v>5.5164999999999997</v>
      </c>
      <c r="P696" s="377">
        <f>IFERROR(O696*VLOOKUP(G696,MODULY_CBA!$B$3:$F$23,5,0),)</f>
        <v>165.495</v>
      </c>
      <c r="Q696" s="478" t="str">
        <f>IFERROR(VLOOKUP(G696,MODULY_CBA!$B$3:$I$23,6,0),"")</f>
        <v>Inkrement 5</v>
      </c>
    </row>
    <row r="697" spans="1:17">
      <c r="A697" s="401">
        <v>695</v>
      </c>
      <c r="B697" s="401" t="s">
        <v>475</v>
      </c>
      <c r="C697" s="530" t="s">
        <v>1154</v>
      </c>
      <c r="D697" s="530" t="s">
        <v>1156</v>
      </c>
      <c r="E697" s="530"/>
      <c r="F697" s="389" t="s">
        <v>8</v>
      </c>
      <c r="G697" s="389" t="s">
        <v>265</v>
      </c>
      <c r="H697" s="379">
        <v>1</v>
      </c>
      <c r="I697" s="379">
        <v>5</v>
      </c>
      <c r="J697" s="379">
        <f t="shared" si="46"/>
        <v>1</v>
      </c>
      <c r="K697" s="379">
        <f t="shared" si="47"/>
        <v>5</v>
      </c>
      <c r="L697" s="643">
        <f>IFERROR(IF(B697="funkcna poziadavka",VLOOKUP(G697,MODULY_CBA!$B$3:$E$23,4,0)*H697/SUMIFS($H$3:$H$199,$G$3:$G$199,G697,$B$3:$B$199,B697),),)</f>
        <v>0</v>
      </c>
      <c r="M697" s="379">
        <f>IFERROR(IF(B697="Funkcna poziadavka",VLOOKUP(G697,MODULY_CBA!$B$3:$E$23,3,0),),)</f>
        <v>0.93499999999999994</v>
      </c>
      <c r="N697" s="379">
        <f>IFERROR(IF(B697="funkcna poziadavka",VLOOKUP(G697,MODULY_CBA!$B$3:$E$23,2,0),),)</f>
        <v>1.18</v>
      </c>
      <c r="O697" s="378">
        <f t="shared" si="48"/>
        <v>5.5164999999999997</v>
      </c>
      <c r="P697" s="377">
        <f>IFERROR(O697*VLOOKUP(G697,MODULY_CBA!$B$3:$F$23,5,0),)</f>
        <v>165.495</v>
      </c>
      <c r="Q697" s="478" t="str">
        <f>IFERROR(VLOOKUP(G697,MODULY_CBA!$B$3:$I$23,6,0),"")</f>
        <v>Inkrement 5</v>
      </c>
    </row>
    <row r="698" spans="1:17">
      <c r="A698" s="401">
        <v>696</v>
      </c>
      <c r="B698" s="401" t="s">
        <v>475</v>
      </c>
      <c r="C698" s="530" t="s">
        <v>1154</v>
      </c>
      <c r="D698" s="530" t="s">
        <v>1157</v>
      </c>
      <c r="E698" s="530"/>
      <c r="F698" s="389" t="s">
        <v>8</v>
      </c>
      <c r="G698" s="389" t="s">
        <v>265</v>
      </c>
      <c r="H698" s="379">
        <v>1</v>
      </c>
      <c r="I698" s="379">
        <v>5</v>
      </c>
      <c r="J698" s="379">
        <f t="shared" si="46"/>
        <v>1</v>
      </c>
      <c r="K698" s="379">
        <f t="shared" si="47"/>
        <v>5</v>
      </c>
      <c r="L698" s="643">
        <f>IFERROR(IF(B698="funkcna poziadavka",VLOOKUP(G698,MODULY_CBA!$B$3:$E$23,4,0)*H698/SUMIFS($H$3:$H$199,$G$3:$G$199,G698,$B$3:$B$199,B698),),)</f>
        <v>0</v>
      </c>
      <c r="M698" s="379">
        <f>IFERROR(IF(B698="Funkcna poziadavka",VLOOKUP(G698,MODULY_CBA!$B$3:$E$23,3,0),),)</f>
        <v>0.93499999999999994</v>
      </c>
      <c r="N698" s="379">
        <f>IFERROR(IF(B698="funkcna poziadavka",VLOOKUP(G698,MODULY_CBA!$B$3:$E$23,2,0),),)</f>
        <v>1.18</v>
      </c>
      <c r="O698" s="378">
        <f t="shared" si="48"/>
        <v>5.5164999999999997</v>
      </c>
      <c r="P698" s="377">
        <f>IFERROR(O698*VLOOKUP(G698,MODULY_CBA!$B$3:$F$23,5,0),)</f>
        <v>165.495</v>
      </c>
      <c r="Q698" s="478" t="str">
        <f>IFERROR(VLOOKUP(G698,MODULY_CBA!$B$3:$I$23,6,0),"")</f>
        <v>Inkrement 5</v>
      </c>
    </row>
    <row r="699" spans="1:17">
      <c r="A699" s="401">
        <v>697</v>
      </c>
      <c r="B699" s="401" t="s">
        <v>475</v>
      </c>
      <c r="C699" s="530" t="s">
        <v>1154</v>
      </c>
      <c r="D699" s="530" t="s">
        <v>1158</v>
      </c>
      <c r="E699" s="530"/>
      <c r="F699" s="389" t="s">
        <v>8</v>
      </c>
      <c r="G699" s="389" t="s">
        <v>265</v>
      </c>
      <c r="H699" s="379">
        <v>1</v>
      </c>
      <c r="I699" s="379">
        <v>5</v>
      </c>
      <c r="J699" s="379">
        <f t="shared" si="46"/>
        <v>1</v>
      </c>
      <c r="K699" s="379">
        <f t="shared" si="47"/>
        <v>5</v>
      </c>
      <c r="L699" s="643">
        <f>IFERROR(IF(B699="funkcna poziadavka",VLOOKUP(G699,MODULY_CBA!$B$3:$E$23,4,0)*H699/SUMIFS($H$3:$H$199,$G$3:$G$199,G699,$B$3:$B$199,B699),),)</f>
        <v>0</v>
      </c>
      <c r="M699" s="379">
        <f>IFERROR(IF(B699="Funkcna poziadavka",VLOOKUP(G699,MODULY_CBA!$B$3:$E$23,3,0),),)</f>
        <v>0.93499999999999994</v>
      </c>
      <c r="N699" s="379">
        <f>IFERROR(IF(B699="funkcna poziadavka",VLOOKUP(G699,MODULY_CBA!$B$3:$E$23,2,0),),)</f>
        <v>1.18</v>
      </c>
      <c r="O699" s="378">
        <f t="shared" si="48"/>
        <v>5.5164999999999997</v>
      </c>
      <c r="P699" s="377">
        <f>IFERROR(O699*VLOOKUP(G699,MODULY_CBA!$B$3:$F$23,5,0),)</f>
        <v>165.495</v>
      </c>
      <c r="Q699" s="478" t="str">
        <f>IFERROR(VLOOKUP(G699,MODULY_CBA!$B$3:$I$23,6,0),"")</f>
        <v>Inkrement 5</v>
      </c>
    </row>
    <row r="700" spans="1:17">
      <c r="A700" s="401">
        <v>698</v>
      </c>
      <c r="B700" s="401" t="s">
        <v>475</v>
      </c>
      <c r="C700" s="530" t="s">
        <v>1159</v>
      </c>
      <c r="D700" s="530" t="s">
        <v>1068</v>
      </c>
      <c r="E700" s="389"/>
      <c r="F700" s="389" t="s">
        <v>8</v>
      </c>
      <c r="G700" s="389" t="s">
        <v>265</v>
      </c>
      <c r="H700" s="379">
        <v>1</v>
      </c>
      <c r="I700" s="379">
        <v>5</v>
      </c>
      <c r="J700" s="379">
        <f t="shared" si="46"/>
        <v>1</v>
      </c>
      <c r="K700" s="379">
        <f t="shared" si="47"/>
        <v>5</v>
      </c>
      <c r="L700" s="643">
        <f>IFERROR(IF(B700="funkcna poziadavka",VLOOKUP(G700,MODULY_CBA!$B$3:$E$23,4,0)*H700/SUMIFS($H$3:$H$199,$G$3:$G$199,G700,$B$3:$B$199,B700),),)</f>
        <v>0</v>
      </c>
      <c r="M700" s="379">
        <f>IFERROR(IF(B700="Funkcna poziadavka",VLOOKUP(G700,MODULY_CBA!$B$3:$E$23,3,0),),)</f>
        <v>0.93499999999999994</v>
      </c>
      <c r="N700" s="379">
        <f>IFERROR(IF(B700="funkcna poziadavka",VLOOKUP(G700,MODULY_CBA!$B$3:$E$23,2,0),),)</f>
        <v>1.18</v>
      </c>
      <c r="O700" s="378">
        <f t="shared" si="48"/>
        <v>5.5164999999999997</v>
      </c>
      <c r="P700" s="377">
        <f>IFERROR(O700*VLOOKUP(G700,MODULY_CBA!$B$3:$F$23,5,0),)</f>
        <v>165.495</v>
      </c>
      <c r="Q700" s="478" t="str">
        <f>IFERROR(VLOOKUP(G700,MODULY_CBA!$B$3:$I$23,6,0),"")</f>
        <v>Inkrement 5</v>
      </c>
    </row>
    <row r="701" spans="1:17">
      <c r="A701" s="401">
        <v>699</v>
      </c>
      <c r="B701" s="401" t="s">
        <v>475</v>
      </c>
      <c r="C701" s="530" t="s">
        <v>1159</v>
      </c>
      <c r="D701" s="530" t="s">
        <v>1069</v>
      </c>
      <c r="E701" s="389"/>
      <c r="F701" s="389" t="s">
        <v>8</v>
      </c>
      <c r="G701" s="389" t="s">
        <v>265</v>
      </c>
      <c r="H701" s="379">
        <v>1</v>
      </c>
      <c r="I701" s="379">
        <v>5</v>
      </c>
      <c r="J701" s="379">
        <f t="shared" si="46"/>
        <v>1</v>
      </c>
      <c r="K701" s="379">
        <f t="shared" si="47"/>
        <v>5</v>
      </c>
      <c r="L701" s="643">
        <f>IFERROR(IF(B701="funkcna poziadavka",VLOOKUP(G701,MODULY_CBA!$B$3:$E$23,4,0)*H701/SUMIFS($H$3:$H$199,$G$3:$G$199,G701,$B$3:$B$199,B701),),)</f>
        <v>0</v>
      </c>
      <c r="M701" s="379">
        <f>IFERROR(IF(B701="Funkcna poziadavka",VLOOKUP(G701,MODULY_CBA!$B$3:$E$23,3,0),),)</f>
        <v>0.93499999999999994</v>
      </c>
      <c r="N701" s="379">
        <f>IFERROR(IF(B701="funkcna poziadavka",VLOOKUP(G701,MODULY_CBA!$B$3:$E$23,2,0),),)</f>
        <v>1.18</v>
      </c>
      <c r="O701" s="378">
        <f t="shared" si="48"/>
        <v>5.5164999999999997</v>
      </c>
      <c r="P701" s="377">
        <f>IFERROR(O701*VLOOKUP(G701,MODULY_CBA!$B$3:$F$23,5,0),)</f>
        <v>165.495</v>
      </c>
      <c r="Q701" s="478" t="str">
        <f>IFERROR(VLOOKUP(G701,MODULY_CBA!$B$3:$I$23,6,0),"")</f>
        <v>Inkrement 5</v>
      </c>
    </row>
    <row r="702" spans="1:17">
      <c r="A702" s="401">
        <v>700</v>
      </c>
      <c r="B702" s="401" t="s">
        <v>475</v>
      </c>
      <c r="C702" s="530" t="s">
        <v>1159</v>
      </c>
      <c r="D702" s="530" t="s">
        <v>1070</v>
      </c>
      <c r="E702" s="389"/>
      <c r="F702" s="389" t="s">
        <v>8</v>
      </c>
      <c r="G702" s="389" t="s">
        <v>265</v>
      </c>
      <c r="H702" s="379">
        <v>1</v>
      </c>
      <c r="I702" s="379">
        <v>5</v>
      </c>
      <c r="J702" s="379">
        <f t="shared" si="46"/>
        <v>1</v>
      </c>
      <c r="K702" s="379">
        <f t="shared" si="47"/>
        <v>5</v>
      </c>
      <c r="L702" s="643">
        <f>IFERROR(IF(B702="funkcna poziadavka",VLOOKUP(G702,MODULY_CBA!$B$3:$E$23,4,0)*H702/SUMIFS($H$3:$H$199,$G$3:$G$199,G702,$B$3:$B$199,B702),),)</f>
        <v>0</v>
      </c>
      <c r="M702" s="379">
        <f>IFERROR(IF(B702="Funkcna poziadavka",VLOOKUP(G702,MODULY_CBA!$B$3:$E$23,3,0),),)</f>
        <v>0.93499999999999994</v>
      </c>
      <c r="N702" s="379">
        <f>IFERROR(IF(B702="funkcna poziadavka",VLOOKUP(G702,MODULY_CBA!$B$3:$E$23,2,0),),)</f>
        <v>1.18</v>
      </c>
      <c r="O702" s="378">
        <f t="shared" si="48"/>
        <v>5.5164999999999997</v>
      </c>
      <c r="P702" s="377">
        <f>IFERROR(O702*VLOOKUP(G702,MODULY_CBA!$B$3:$F$23,5,0),)</f>
        <v>165.495</v>
      </c>
      <c r="Q702" s="478" t="str">
        <f>IFERROR(VLOOKUP(G702,MODULY_CBA!$B$3:$I$23,6,0),"")</f>
        <v>Inkrement 5</v>
      </c>
    </row>
    <row r="703" spans="1:17">
      <c r="A703" s="401">
        <v>701</v>
      </c>
      <c r="B703" s="401" t="s">
        <v>475</v>
      </c>
      <c r="C703" s="530" t="s">
        <v>1160</v>
      </c>
      <c r="D703" s="530" t="s">
        <v>1161</v>
      </c>
      <c r="E703" s="530"/>
      <c r="F703" s="389" t="s">
        <v>8</v>
      </c>
      <c r="G703" s="389" t="s">
        <v>265</v>
      </c>
      <c r="H703" s="379">
        <v>1</v>
      </c>
      <c r="I703" s="379">
        <v>5</v>
      </c>
      <c r="J703" s="379">
        <f t="shared" si="46"/>
        <v>1</v>
      </c>
      <c r="K703" s="379">
        <f t="shared" si="47"/>
        <v>5</v>
      </c>
      <c r="L703" s="643">
        <f>IFERROR(IF(B703="funkcna poziadavka",VLOOKUP(G703,MODULY_CBA!$B$3:$E$23,4,0)*H703/SUMIFS($H$3:$H$199,$G$3:$G$199,G703,$B$3:$B$199,B703),),)</f>
        <v>0</v>
      </c>
      <c r="M703" s="379">
        <f>IFERROR(IF(B703="Funkcna poziadavka",VLOOKUP(G703,MODULY_CBA!$B$3:$E$23,3,0),),)</f>
        <v>0.93499999999999994</v>
      </c>
      <c r="N703" s="379">
        <f>IFERROR(IF(B703="funkcna poziadavka",VLOOKUP(G703,MODULY_CBA!$B$3:$E$23,2,0),),)</f>
        <v>1.18</v>
      </c>
      <c r="O703" s="378">
        <f t="shared" si="48"/>
        <v>5.5164999999999997</v>
      </c>
      <c r="P703" s="377">
        <f>IFERROR(O703*VLOOKUP(G703,MODULY_CBA!$B$3:$F$23,5,0),)</f>
        <v>165.495</v>
      </c>
      <c r="Q703" s="478" t="str">
        <f>IFERROR(VLOOKUP(G703,MODULY_CBA!$B$3:$I$23,6,0),"")</f>
        <v>Inkrement 5</v>
      </c>
    </row>
    <row r="704" spans="1:17">
      <c r="A704" s="401">
        <v>702</v>
      </c>
      <c r="B704" s="401" t="s">
        <v>475</v>
      </c>
      <c r="C704" s="532" t="s">
        <v>1162</v>
      </c>
      <c r="D704" s="532" t="s">
        <v>1075</v>
      </c>
      <c r="E704" s="389"/>
      <c r="F704" s="389" t="s">
        <v>8</v>
      </c>
      <c r="G704" s="389" t="s">
        <v>265</v>
      </c>
      <c r="H704" s="379">
        <v>1</v>
      </c>
      <c r="I704" s="379">
        <v>5</v>
      </c>
      <c r="J704" s="379">
        <f t="shared" si="46"/>
        <v>1</v>
      </c>
      <c r="K704" s="379">
        <f t="shared" si="47"/>
        <v>5</v>
      </c>
      <c r="L704" s="643">
        <f>IFERROR(IF(B704="funkcna poziadavka",VLOOKUP(G704,MODULY_CBA!$B$3:$E$23,4,0)*H704/SUMIFS($H$3:$H$199,$G$3:$G$199,G704,$B$3:$B$199,B704),),)</f>
        <v>0</v>
      </c>
      <c r="M704" s="379">
        <f>IFERROR(IF(B704="Funkcna poziadavka",VLOOKUP(G704,MODULY_CBA!$B$3:$E$23,3,0),),)</f>
        <v>0.93499999999999994</v>
      </c>
      <c r="N704" s="379">
        <f>IFERROR(IF(B704="funkcna poziadavka",VLOOKUP(G704,MODULY_CBA!$B$3:$E$23,2,0),),)</f>
        <v>1.18</v>
      </c>
      <c r="O704" s="378">
        <f t="shared" si="48"/>
        <v>5.5164999999999997</v>
      </c>
      <c r="P704" s="377">
        <f>IFERROR(O704*VLOOKUP(G704,MODULY_CBA!$B$3:$F$23,5,0),)</f>
        <v>165.495</v>
      </c>
      <c r="Q704" s="478" t="str">
        <f>IFERROR(VLOOKUP(G704,MODULY_CBA!$B$3:$I$23,6,0),"")</f>
        <v>Inkrement 5</v>
      </c>
    </row>
    <row r="705" spans="1:17">
      <c r="A705" s="401">
        <v>703</v>
      </c>
      <c r="B705" s="401" t="s">
        <v>475</v>
      </c>
      <c r="C705" s="532" t="s">
        <v>1162</v>
      </c>
      <c r="D705" s="532" t="s">
        <v>1076</v>
      </c>
      <c r="E705" s="389"/>
      <c r="F705" s="389" t="s">
        <v>8</v>
      </c>
      <c r="G705" s="389" t="s">
        <v>265</v>
      </c>
      <c r="H705" s="379">
        <v>1</v>
      </c>
      <c r="I705" s="379">
        <v>5</v>
      </c>
      <c r="J705" s="379">
        <f t="shared" si="46"/>
        <v>1</v>
      </c>
      <c r="K705" s="379">
        <f t="shared" si="47"/>
        <v>5</v>
      </c>
      <c r="L705" s="643">
        <f>IFERROR(IF(B705="funkcna poziadavka",VLOOKUP(G705,MODULY_CBA!$B$3:$E$23,4,0)*H705/SUMIFS($H$3:$H$199,$G$3:$G$199,G705,$B$3:$B$199,B705),),)</f>
        <v>0</v>
      </c>
      <c r="M705" s="379">
        <f>IFERROR(IF(B705="Funkcna poziadavka",VLOOKUP(G705,MODULY_CBA!$B$3:$E$23,3,0),),)</f>
        <v>0.93499999999999994</v>
      </c>
      <c r="N705" s="379">
        <f>IFERROR(IF(B705="funkcna poziadavka",VLOOKUP(G705,MODULY_CBA!$B$3:$E$23,2,0),),)</f>
        <v>1.18</v>
      </c>
      <c r="O705" s="378">
        <f t="shared" si="48"/>
        <v>5.5164999999999997</v>
      </c>
      <c r="P705" s="377">
        <f>IFERROR(O705*VLOOKUP(G705,MODULY_CBA!$B$3:$F$23,5,0),)</f>
        <v>165.495</v>
      </c>
      <c r="Q705" s="478" t="str">
        <f>IFERROR(VLOOKUP(G705,MODULY_CBA!$B$3:$I$23,6,0),"")</f>
        <v>Inkrement 5</v>
      </c>
    </row>
    <row r="706" spans="1:17">
      <c r="A706" s="401">
        <v>704</v>
      </c>
      <c r="B706" s="401" t="s">
        <v>475</v>
      </c>
      <c r="C706" s="530" t="s">
        <v>1163</v>
      </c>
      <c r="D706" s="530" t="s">
        <v>1164</v>
      </c>
      <c r="E706" s="530"/>
      <c r="F706" s="389" t="s">
        <v>8</v>
      </c>
      <c r="G706" s="389" t="s">
        <v>265</v>
      </c>
      <c r="H706" s="379">
        <v>1</v>
      </c>
      <c r="I706" s="379">
        <v>5</v>
      </c>
      <c r="J706" s="379">
        <f t="shared" si="46"/>
        <v>1</v>
      </c>
      <c r="K706" s="379">
        <f t="shared" si="47"/>
        <v>5</v>
      </c>
      <c r="L706" s="643">
        <f>IFERROR(IF(B706="funkcna poziadavka",VLOOKUP(G706,MODULY_CBA!$B$3:$E$23,4,0)*H706/SUMIFS($H$3:$H$199,$G$3:$G$199,G706,$B$3:$B$199,B706),),)</f>
        <v>0</v>
      </c>
      <c r="M706" s="379">
        <f>IFERROR(IF(B706="Funkcna poziadavka",VLOOKUP(G706,MODULY_CBA!$B$3:$E$23,3,0),),)</f>
        <v>0.93499999999999994</v>
      </c>
      <c r="N706" s="379">
        <f>IFERROR(IF(B706="funkcna poziadavka",VLOOKUP(G706,MODULY_CBA!$B$3:$E$23,2,0),),)</f>
        <v>1.18</v>
      </c>
      <c r="O706" s="378">
        <f t="shared" si="48"/>
        <v>5.5164999999999997</v>
      </c>
      <c r="P706" s="377">
        <f>IFERROR(O706*VLOOKUP(G706,MODULY_CBA!$B$3:$F$23,5,0),)</f>
        <v>165.495</v>
      </c>
      <c r="Q706" s="478" t="str">
        <f>IFERROR(VLOOKUP(G706,MODULY_CBA!$B$3:$I$23,6,0),"")</f>
        <v>Inkrement 5</v>
      </c>
    </row>
    <row r="707" spans="1:17">
      <c r="A707" s="401">
        <v>705</v>
      </c>
      <c r="B707" s="401" t="s">
        <v>475</v>
      </c>
      <c r="C707" s="530" t="s">
        <v>1165</v>
      </c>
      <c r="D707" s="530" t="s">
        <v>1046</v>
      </c>
      <c r="E707" s="389"/>
      <c r="F707" s="389" t="s">
        <v>8</v>
      </c>
      <c r="G707" s="389" t="s">
        <v>265</v>
      </c>
      <c r="H707" s="379">
        <v>1</v>
      </c>
      <c r="I707" s="379">
        <v>5</v>
      </c>
      <c r="J707" s="379">
        <f t="shared" si="46"/>
        <v>1</v>
      </c>
      <c r="K707" s="379">
        <f t="shared" si="47"/>
        <v>5</v>
      </c>
      <c r="L707" s="643">
        <f>IFERROR(IF(B707="funkcna poziadavka",VLOOKUP(G707,MODULY_CBA!$B$3:$E$23,4,0)*H707/SUMIFS($H$3:$H$199,$G$3:$G$199,G707,$B$3:$B$199,B707),),)</f>
        <v>0</v>
      </c>
      <c r="M707" s="379">
        <f>IFERROR(IF(B707="Funkcna poziadavka",VLOOKUP(G707,MODULY_CBA!$B$3:$E$23,3,0),),)</f>
        <v>0.93499999999999994</v>
      </c>
      <c r="N707" s="379">
        <f>IFERROR(IF(B707="funkcna poziadavka",VLOOKUP(G707,MODULY_CBA!$B$3:$E$23,2,0),),)</f>
        <v>1.18</v>
      </c>
      <c r="O707" s="378">
        <f t="shared" si="48"/>
        <v>5.5164999999999997</v>
      </c>
      <c r="P707" s="377">
        <f>IFERROR(O707*VLOOKUP(G707,MODULY_CBA!$B$3:$F$23,5,0),)</f>
        <v>165.495</v>
      </c>
      <c r="Q707" s="478" t="str">
        <f>IFERROR(VLOOKUP(G707,MODULY_CBA!$B$3:$I$23,6,0),"")</f>
        <v>Inkrement 5</v>
      </c>
    </row>
    <row r="708" spans="1:17">
      <c r="A708" s="401">
        <v>706</v>
      </c>
      <c r="B708" s="401" t="s">
        <v>475</v>
      </c>
      <c r="C708" s="530" t="s">
        <v>1166</v>
      </c>
      <c r="D708" s="530" t="s">
        <v>1167</v>
      </c>
      <c r="E708" s="530"/>
      <c r="F708" s="389" t="s">
        <v>8</v>
      </c>
      <c r="G708" s="389" t="s">
        <v>265</v>
      </c>
      <c r="H708" s="379">
        <v>1</v>
      </c>
      <c r="I708" s="379">
        <v>5</v>
      </c>
      <c r="J708" s="379">
        <f t="shared" si="46"/>
        <v>1</v>
      </c>
      <c r="K708" s="379">
        <f t="shared" si="47"/>
        <v>5</v>
      </c>
      <c r="L708" s="643">
        <f>IFERROR(IF(B708="funkcna poziadavka",VLOOKUP(G708,MODULY_CBA!$B$3:$E$23,4,0)*H708/SUMIFS($H$3:$H$199,$G$3:$G$199,G708,$B$3:$B$199,B708),),)</f>
        <v>0</v>
      </c>
      <c r="M708" s="379">
        <f>IFERROR(IF(B708="Funkcna poziadavka",VLOOKUP(G708,MODULY_CBA!$B$3:$E$23,3,0),),)</f>
        <v>0.93499999999999994</v>
      </c>
      <c r="N708" s="379">
        <f>IFERROR(IF(B708="funkcna poziadavka",VLOOKUP(G708,MODULY_CBA!$B$3:$E$23,2,0),),)</f>
        <v>1.18</v>
      </c>
      <c r="O708" s="378">
        <f t="shared" si="48"/>
        <v>5.5164999999999997</v>
      </c>
      <c r="P708" s="377">
        <f>IFERROR(O708*VLOOKUP(G708,MODULY_CBA!$B$3:$F$23,5,0),)</f>
        <v>165.495</v>
      </c>
      <c r="Q708" s="478" t="str">
        <f>IFERROR(VLOOKUP(G708,MODULY_CBA!$B$3:$I$23,6,0),"")</f>
        <v>Inkrement 5</v>
      </c>
    </row>
    <row r="709" spans="1:17">
      <c r="A709" s="401">
        <v>707</v>
      </c>
      <c r="B709" s="401" t="s">
        <v>475</v>
      </c>
      <c r="C709" s="530" t="s">
        <v>1166</v>
      </c>
      <c r="D709" s="530" t="s">
        <v>1168</v>
      </c>
      <c r="E709" s="530"/>
      <c r="F709" s="389" t="s">
        <v>8</v>
      </c>
      <c r="G709" s="389" t="s">
        <v>265</v>
      </c>
      <c r="H709" s="379">
        <v>1</v>
      </c>
      <c r="I709" s="379">
        <v>5</v>
      </c>
      <c r="J709" s="379">
        <f t="shared" ref="J709:J772" si="49">IF(ISNUMBER(H709),H709,)</f>
        <v>1</v>
      </c>
      <c r="K709" s="379">
        <f t="shared" si="47"/>
        <v>5</v>
      </c>
      <c r="L709" s="643">
        <f>IFERROR(IF(B709="funkcna poziadavka",VLOOKUP(G709,MODULY_CBA!$B$3:$E$23,4,0)*H709/SUMIFS($H$3:$H$199,$G$3:$G$199,G709,$B$3:$B$199,B709),),)</f>
        <v>0</v>
      </c>
      <c r="M709" s="379">
        <f>IFERROR(IF(B709="Funkcna poziadavka",VLOOKUP(G709,MODULY_CBA!$B$3:$E$23,3,0),),)</f>
        <v>0.93499999999999994</v>
      </c>
      <c r="N709" s="379">
        <f>IFERROR(IF(B709="funkcna poziadavka",VLOOKUP(G709,MODULY_CBA!$B$3:$E$23,2,0),),)</f>
        <v>1.18</v>
      </c>
      <c r="O709" s="378">
        <f t="shared" si="48"/>
        <v>5.5164999999999997</v>
      </c>
      <c r="P709" s="377">
        <f>IFERROR(O709*VLOOKUP(G709,MODULY_CBA!$B$3:$F$23,5,0),)</f>
        <v>165.495</v>
      </c>
      <c r="Q709" s="478" t="str">
        <f>IFERROR(VLOOKUP(G709,MODULY_CBA!$B$3:$I$23,6,0),"")</f>
        <v>Inkrement 5</v>
      </c>
    </row>
    <row r="710" spans="1:17">
      <c r="A710" s="401">
        <v>708</v>
      </c>
      <c r="B710" s="401" t="s">
        <v>475</v>
      </c>
      <c r="C710" s="530" t="s">
        <v>1169</v>
      </c>
      <c r="D710" s="530" t="s">
        <v>1170</v>
      </c>
      <c r="E710" s="530"/>
      <c r="F710" s="389" t="s">
        <v>8</v>
      </c>
      <c r="G710" s="389" t="s">
        <v>265</v>
      </c>
      <c r="H710" s="379">
        <v>1</v>
      </c>
      <c r="I710" s="379">
        <v>5</v>
      </c>
      <c r="J710" s="379">
        <f t="shared" si="49"/>
        <v>1</v>
      </c>
      <c r="K710" s="379">
        <f t="shared" si="47"/>
        <v>5</v>
      </c>
      <c r="L710" s="643">
        <f>IFERROR(IF(B710="funkcna poziadavka",VLOOKUP(G710,MODULY_CBA!$B$3:$E$23,4,0)*H710/SUMIFS($H$3:$H$199,$G$3:$G$199,G710,$B$3:$B$199,B710),),)</f>
        <v>0</v>
      </c>
      <c r="M710" s="379">
        <f>IFERROR(IF(B710="Funkcna poziadavka",VLOOKUP(G710,MODULY_CBA!$B$3:$E$23,3,0),),)</f>
        <v>0.93499999999999994</v>
      </c>
      <c r="N710" s="379">
        <f>IFERROR(IF(B710="funkcna poziadavka",VLOOKUP(G710,MODULY_CBA!$B$3:$E$23,2,0),),)</f>
        <v>1.18</v>
      </c>
      <c r="O710" s="378">
        <f t="shared" si="48"/>
        <v>5.5164999999999997</v>
      </c>
      <c r="P710" s="377">
        <f>IFERROR(O710*VLOOKUP(G710,MODULY_CBA!$B$3:$F$23,5,0),)</f>
        <v>165.495</v>
      </c>
      <c r="Q710" s="478" t="str">
        <f>IFERROR(VLOOKUP(G710,MODULY_CBA!$B$3:$I$23,6,0),"")</f>
        <v>Inkrement 5</v>
      </c>
    </row>
    <row r="711" spans="1:17">
      <c r="A711" s="401">
        <v>709</v>
      </c>
      <c r="B711" s="401" t="s">
        <v>475</v>
      </c>
      <c r="C711" s="530" t="s">
        <v>1169</v>
      </c>
      <c r="D711" s="530" t="s">
        <v>1171</v>
      </c>
      <c r="E711" s="530"/>
      <c r="F711" s="389" t="s">
        <v>8</v>
      </c>
      <c r="G711" s="389" t="s">
        <v>265</v>
      </c>
      <c r="H711" s="379">
        <v>1</v>
      </c>
      <c r="I711" s="379">
        <v>5</v>
      </c>
      <c r="J711" s="379">
        <f t="shared" si="49"/>
        <v>1</v>
      </c>
      <c r="K711" s="379">
        <f t="shared" si="47"/>
        <v>5</v>
      </c>
      <c r="L711" s="643">
        <f>IFERROR(IF(B711="funkcna poziadavka",VLOOKUP(G711,MODULY_CBA!$B$3:$E$23,4,0)*H711/SUMIFS($H$3:$H$199,$G$3:$G$199,G711,$B$3:$B$199,B711),),)</f>
        <v>0</v>
      </c>
      <c r="M711" s="379">
        <f>IFERROR(IF(B711="Funkcna poziadavka",VLOOKUP(G711,MODULY_CBA!$B$3:$E$23,3,0),),)</f>
        <v>0.93499999999999994</v>
      </c>
      <c r="N711" s="379">
        <f>IFERROR(IF(B711="funkcna poziadavka",VLOOKUP(G711,MODULY_CBA!$B$3:$E$23,2,0),),)</f>
        <v>1.18</v>
      </c>
      <c r="O711" s="378">
        <f t="shared" si="48"/>
        <v>5.5164999999999997</v>
      </c>
      <c r="P711" s="377">
        <f>IFERROR(O711*VLOOKUP(G711,MODULY_CBA!$B$3:$F$23,5,0),)</f>
        <v>165.495</v>
      </c>
      <c r="Q711" s="478" t="str">
        <f>IFERROR(VLOOKUP(G711,MODULY_CBA!$B$3:$I$23,6,0),"")</f>
        <v>Inkrement 5</v>
      </c>
    </row>
    <row r="712" spans="1:17">
      <c r="A712" s="401">
        <v>710</v>
      </c>
      <c r="B712" s="401" t="s">
        <v>475</v>
      </c>
      <c r="C712" s="530" t="s">
        <v>1172</v>
      </c>
      <c r="D712" s="530" t="s">
        <v>1068</v>
      </c>
      <c r="E712" s="389"/>
      <c r="F712" s="389" t="s">
        <v>8</v>
      </c>
      <c r="G712" s="389" t="s">
        <v>265</v>
      </c>
      <c r="H712" s="379">
        <v>1</v>
      </c>
      <c r="I712" s="379">
        <v>5</v>
      </c>
      <c r="J712" s="379">
        <f t="shared" si="49"/>
        <v>1</v>
      </c>
      <c r="K712" s="379">
        <f t="shared" si="47"/>
        <v>5</v>
      </c>
      <c r="L712" s="643">
        <f>IFERROR(IF(B712="funkcna poziadavka",VLOOKUP(G712,MODULY_CBA!$B$3:$E$23,4,0)*H712/SUMIFS($H$3:$H$199,$G$3:$G$199,G712,$B$3:$B$199,B712),),)</f>
        <v>0</v>
      </c>
      <c r="M712" s="379">
        <f>IFERROR(IF(B712="Funkcna poziadavka",VLOOKUP(G712,MODULY_CBA!$B$3:$E$23,3,0),),)</f>
        <v>0.93499999999999994</v>
      </c>
      <c r="N712" s="379">
        <f>IFERROR(IF(B712="funkcna poziadavka",VLOOKUP(G712,MODULY_CBA!$B$3:$E$23,2,0),),)</f>
        <v>1.18</v>
      </c>
      <c r="O712" s="378">
        <f t="shared" si="48"/>
        <v>5.5164999999999997</v>
      </c>
      <c r="P712" s="377">
        <f>IFERROR(O712*VLOOKUP(G712,MODULY_CBA!$B$3:$F$23,5,0),)</f>
        <v>165.495</v>
      </c>
      <c r="Q712" s="478" t="str">
        <f>IFERROR(VLOOKUP(G712,MODULY_CBA!$B$3:$I$23,6,0),"")</f>
        <v>Inkrement 5</v>
      </c>
    </row>
    <row r="713" spans="1:17">
      <c r="A713" s="401">
        <v>711</v>
      </c>
      <c r="B713" s="401" t="s">
        <v>475</v>
      </c>
      <c r="C713" s="530" t="s">
        <v>1172</v>
      </c>
      <c r="D713" s="530" t="s">
        <v>1069</v>
      </c>
      <c r="E713" s="389"/>
      <c r="F713" s="389" t="s">
        <v>8</v>
      </c>
      <c r="G713" s="389" t="s">
        <v>265</v>
      </c>
      <c r="H713" s="379">
        <v>1</v>
      </c>
      <c r="I713" s="379">
        <v>5</v>
      </c>
      <c r="J713" s="379">
        <f t="shared" si="49"/>
        <v>1</v>
      </c>
      <c r="K713" s="379">
        <f t="shared" si="47"/>
        <v>5</v>
      </c>
      <c r="L713" s="643">
        <f>IFERROR(IF(B713="funkcna poziadavka",VLOOKUP(G713,MODULY_CBA!$B$3:$E$23,4,0)*H713/SUMIFS($H$3:$H$199,$G$3:$G$199,G713,$B$3:$B$199,B713),),)</f>
        <v>0</v>
      </c>
      <c r="M713" s="379">
        <f>IFERROR(IF(B713="Funkcna poziadavka",VLOOKUP(G713,MODULY_CBA!$B$3:$E$23,3,0),),)</f>
        <v>0.93499999999999994</v>
      </c>
      <c r="N713" s="379">
        <f>IFERROR(IF(B713="funkcna poziadavka",VLOOKUP(G713,MODULY_CBA!$B$3:$E$23,2,0),),)</f>
        <v>1.18</v>
      </c>
      <c r="O713" s="378">
        <f t="shared" si="48"/>
        <v>5.5164999999999997</v>
      </c>
      <c r="P713" s="377">
        <f>IFERROR(O713*VLOOKUP(G713,MODULY_CBA!$B$3:$F$23,5,0),)</f>
        <v>165.495</v>
      </c>
      <c r="Q713" s="478" t="str">
        <f>IFERROR(VLOOKUP(G713,MODULY_CBA!$B$3:$I$23,6,0),"")</f>
        <v>Inkrement 5</v>
      </c>
    </row>
    <row r="714" spans="1:17">
      <c r="A714" s="401">
        <v>712</v>
      </c>
      <c r="B714" s="401" t="s">
        <v>475</v>
      </c>
      <c r="C714" s="530" t="s">
        <v>1172</v>
      </c>
      <c r="D714" s="530" t="s">
        <v>1070</v>
      </c>
      <c r="E714" s="389"/>
      <c r="F714" s="389" t="s">
        <v>8</v>
      </c>
      <c r="G714" s="389" t="s">
        <v>265</v>
      </c>
      <c r="H714" s="379">
        <v>1</v>
      </c>
      <c r="I714" s="379">
        <v>5</v>
      </c>
      <c r="J714" s="379">
        <f t="shared" si="49"/>
        <v>1</v>
      </c>
      <c r="K714" s="379">
        <f t="shared" si="47"/>
        <v>5</v>
      </c>
      <c r="L714" s="643">
        <f>IFERROR(IF(B714="funkcna poziadavka",VLOOKUP(G714,MODULY_CBA!$B$3:$E$23,4,0)*H714/SUMIFS($H$3:$H$199,$G$3:$G$199,G714,$B$3:$B$199,B714),),)</f>
        <v>0</v>
      </c>
      <c r="M714" s="379">
        <f>IFERROR(IF(B714="Funkcna poziadavka",VLOOKUP(G714,MODULY_CBA!$B$3:$E$23,3,0),),)</f>
        <v>0.93499999999999994</v>
      </c>
      <c r="N714" s="379">
        <f>IFERROR(IF(B714="funkcna poziadavka",VLOOKUP(G714,MODULY_CBA!$B$3:$E$23,2,0),),)</f>
        <v>1.18</v>
      </c>
      <c r="O714" s="378">
        <f t="shared" si="48"/>
        <v>5.5164999999999997</v>
      </c>
      <c r="P714" s="377">
        <f>IFERROR(O714*VLOOKUP(G714,MODULY_CBA!$B$3:$F$23,5,0),)</f>
        <v>165.495</v>
      </c>
      <c r="Q714" s="478" t="str">
        <f>IFERROR(VLOOKUP(G714,MODULY_CBA!$B$3:$I$23,6,0),"")</f>
        <v>Inkrement 5</v>
      </c>
    </row>
    <row r="715" spans="1:17">
      <c r="A715" s="401">
        <v>713</v>
      </c>
      <c r="B715" s="401" t="s">
        <v>475</v>
      </c>
      <c r="C715" s="530" t="s">
        <v>1173</v>
      </c>
      <c r="D715" s="530" t="s">
        <v>1174</v>
      </c>
      <c r="E715" s="530"/>
      <c r="F715" s="389" t="s">
        <v>8</v>
      </c>
      <c r="G715" s="389" t="s">
        <v>265</v>
      </c>
      <c r="H715" s="379">
        <v>1</v>
      </c>
      <c r="I715" s="379">
        <v>5</v>
      </c>
      <c r="J715" s="379">
        <f t="shared" si="49"/>
        <v>1</v>
      </c>
      <c r="K715" s="379">
        <f t="shared" si="47"/>
        <v>5</v>
      </c>
      <c r="L715" s="643">
        <f>IFERROR(IF(B715="funkcna poziadavka",VLOOKUP(G715,MODULY_CBA!$B$3:$E$23,4,0)*H715/SUMIFS($H$3:$H$199,$G$3:$G$199,G715,$B$3:$B$199,B715),),)</f>
        <v>0</v>
      </c>
      <c r="M715" s="379">
        <f>IFERROR(IF(B715="Funkcna poziadavka",VLOOKUP(G715,MODULY_CBA!$B$3:$E$23,3,0),),)</f>
        <v>0.93499999999999994</v>
      </c>
      <c r="N715" s="379">
        <f>IFERROR(IF(B715="funkcna poziadavka",VLOOKUP(G715,MODULY_CBA!$B$3:$E$23,2,0),),)</f>
        <v>1.18</v>
      </c>
      <c r="O715" s="378">
        <f t="shared" si="48"/>
        <v>5.5164999999999997</v>
      </c>
      <c r="P715" s="377">
        <f>IFERROR(O715*VLOOKUP(G715,MODULY_CBA!$B$3:$F$23,5,0),)</f>
        <v>165.495</v>
      </c>
      <c r="Q715" s="478" t="str">
        <f>IFERROR(VLOOKUP(G715,MODULY_CBA!$B$3:$I$23,6,0),"")</f>
        <v>Inkrement 5</v>
      </c>
    </row>
    <row r="716" spans="1:17">
      <c r="A716" s="401">
        <v>714</v>
      </c>
      <c r="B716" s="401" t="s">
        <v>475</v>
      </c>
      <c r="C716" s="532" t="s">
        <v>1175</v>
      </c>
      <c r="D716" s="532" t="s">
        <v>1075</v>
      </c>
      <c r="E716" s="389"/>
      <c r="F716" s="389" t="s">
        <v>8</v>
      </c>
      <c r="G716" s="389" t="s">
        <v>265</v>
      </c>
      <c r="H716" s="379">
        <v>1</v>
      </c>
      <c r="I716" s="379">
        <v>5</v>
      </c>
      <c r="J716" s="379">
        <f t="shared" si="49"/>
        <v>1</v>
      </c>
      <c r="K716" s="379">
        <f t="shared" ref="K716:K779" si="50">H716*I716</f>
        <v>5</v>
      </c>
      <c r="L716" s="643">
        <f>IFERROR(IF(B716="funkcna poziadavka",VLOOKUP(G716,MODULY_CBA!$B$3:$E$23,4,0)*H716/SUMIFS($H$3:$H$199,$G$3:$G$199,G716,$B$3:$B$199,B716),),)</f>
        <v>0</v>
      </c>
      <c r="M716" s="379">
        <f>IFERROR(IF(B716="Funkcna poziadavka",VLOOKUP(G716,MODULY_CBA!$B$3:$E$23,3,0),),)</f>
        <v>0.93499999999999994</v>
      </c>
      <c r="N716" s="379">
        <f>IFERROR(IF(B716="funkcna poziadavka",VLOOKUP(G716,MODULY_CBA!$B$3:$E$23,2,0),),)</f>
        <v>1.18</v>
      </c>
      <c r="O716" s="378">
        <f t="shared" ref="O716:O779" si="51">(K716+L716)*M716*N716</f>
        <v>5.5164999999999997</v>
      </c>
      <c r="P716" s="377">
        <f>IFERROR(O716*VLOOKUP(G716,MODULY_CBA!$B$3:$F$23,5,0),)</f>
        <v>165.495</v>
      </c>
      <c r="Q716" s="478" t="str">
        <f>IFERROR(VLOOKUP(G716,MODULY_CBA!$B$3:$I$23,6,0),"")</f>
        <v>Inkrement 5</v>
      </c>
    </row>
    <row r="717" spans="1:17">
      <c r="A717" s="401">
        <v>715</v>
      </c>
      <c r="B717" s="401" t="s">
        <v>475</v>
      </c>
      <c r="C717" s="532" t="s">
        <v>1175</v>
      </c>
      <c r="D717" s="532" t="s">
        <v>1076</v>
      </c>
      <c r="E717" s="389"/>
      <c r="F717" s="389" t="s">
        <v>8</v>
      </c>
      <c r="G717" s="389" t="s">
        <v>265</v>
      </c>
      <c r="H717" s="379">
        <v>1</v>
      </c>
      <c r="I717" s="379">
        <v>5</v>
      </c>
      <c r="J717" s="379">
        <f t="shared" si="49"/>
        <v>1</v>
      </c>
      <c r="K717" s="379">
        <f t="shared" si="50"/>
        <v>5</v>
      </c>
      <c r="L717" s="643">
        <f>IFERROR(IF(B717="funkcna poziadavka",VLOOKUP(G717,MODULY_CBA!$B$3:$E$23,4,0)*H717/SUMIFS($H$3:$H$199,$G$3:$G$199,G717,$B$3:$B$199,B717),),)</f>
        <v>0</v>
      </c>
      <c r="M717" s="379">
        <f>IFERROR(IF(B717="Funkcna poziadavka",VLOOKUP(G717,MODULY_CBA!$B$3:$E$23,3,0),),)</f>
        <v>0.93499999999999994</v>
      </c>
      <c r="N717" s="379">
        <f>IFERROR(IF(B717="funkcna poziadavka",VLOOKUP(G717,MODULY_CBA!$B$3:$E$23,2,0),),)</f>
        <v>1.18</v>
      </c>
      <c r="O717" s="378">
        <f t="shared" si="51"/>
        <v>5.5164999999999997</v>
      </c>
      <c r="P717" s="377">
        <f>IFERROR(O717*VLOOKUP(G717,MODULY_CBA!$B$3:$F$23,5,0),)</f>
        <v>165.495</v>
      </c>
      <c r="Q717" s="478" t="str">
        <f>IFERROR(VLOOKUP(G717,MODULY_CBA!$B$3:$I$23,6,0),"")</f>
        <v>Inkrement 5</v>
      </c>
    </row>
    <row r="718" spans="1:17">
      <c r="A718" s="401">
        <v>716</v>
      </c>
      <c r="B718" s="401" t="s">
        <v>475</v>
      </c>
      <c r="C718" s="530" t="s">
        <v>1176</v>
      </c>
      <c r="D718" s="530" t="s">
        <v>1177</v>
      </c>
      <c r="E718" s="530"/>
      <c r="F718" s="389" t="s">
        <v>8</v>
      </c>
      <c r="G718" s="389" t="s">
        <v>265</v>
      </c>
      <c r="H718" s="379">
        <v>1</v>
      </c>
      <c r="I718" s="379">
        <v>5</v>
      </c>
      <c r="J718" s="379">
        <f t="shared" si="49"/>
        <v>1</v>
      </c>
      <c r="K718" s="379">
        <f t="shared" si="50"/>
        <v>5</v>
      </c>
      <c r="L718" s="643">
        <f>IFERROR(IF(B718="funkcna poziadavka",VLOOKUP(G718,MODULY_CBA!$B$3:$E$23,4,0)*H718/SUMIFS($H$3:$H$199,$G$3:$G$199,G718,$B$3:$B$199,B718),),)</f>
        <v>0</v>
      </c>
      <c r="M718" s="379">
        <f>IFERROR(IF(B718="Funkcna poziadavka",VLOOKUP(G718,MODULY_CBA!$B$3:$E$23,3,0),),)</f>
        <v>0.93499999999999994</v>
      </c>
      <c r="N718" s="379">
        <f>IFERROR(IF(B718="funkcna poziadavka",VLOOKUP(G718,MODULY_CBA!$B$3:$E$23,2,0),),)</f>
        <v>1.18</v>
      </c>
      <c r="O718" s="378">
        <f t="shared" si="51"/>
        <v>5.5164999999999997</v>
      </c>
      <c r="P718" s="377">
        <f>IFERROR(O718*VLOOKUP(G718,MODULY_CBA!$B$3:$F$23,5,0),)</f>
        <v>165.495</v>
      </c>
      <c r="Q718" s="478" t="str">
        <f>IFERROR(VLOOKUP(G718,MODULY_CBA!$B$3:$I$23,6,0),"")</f>
        <v>Inkrement 5</v>
      </c>
    </row>
    <row r="719" spans="1:17">
      <c r="A719" s="401">
        <v>717</v>
      </c>
      <c r="B719" s="401" t="s">
        <v>475</v>
      </c>
      <c r="C719" s="530" t="s">
        <v>1176</v>
      </c>
      <c r="D719" s="530" t="s">
        <v>1046</v>
      </c>
      <c r="E719" s="389"/>
      <c r="F719" s="389" t="s">
        <v>8</v>
      </c>
      <c r="G719" s="389" t="s">
        <v>265</v>
      </c>
      <c r="H719" s="379">
        <v>1</v>
      </c>
      <c r="I719" s="379">
        <v>5</v>
      </c>
      <c r="J719" s="379">
        <f t="shared" si="49"/>
        <v>1</v>
      </c>
      <c r="K719" s="379">
        <f t="shared" si="50"/>
        <v>5</v>
      </c>
      <c r="L719" s="643">
        <f>IFERROR(IF(B719="funkcna poziadavka",VLOOKUP(G719,MODULY_CBA!$B$3:$E$23,4,0)*H719/SUMIFS($H$3:$H$199,$G$3:$G$199,G719,$B$3:$B$199,B719),),)</f>
        <v>0</v>
      </c>
      <c r="M719" s="379">
        <f>IFERROR(IF(B719="Funkcna poziadavka",VLOOKUP(G719,MODULY_CBA!$B$3:$E$23,3,0),),)</f>
        <v>0.93499999999999994</v>
      </c>
      <c r="N719" s="379">
        <f>IFERROR(IF(B719="funkcna poziadavka",VLOOKUP(G719,MODULY_CBA!$B$3:$E$23,2,0),),)</f>
        <v>1.18</v>
      </c>
      <c r="O719" s="378">
        <f t="shared" si="51"/>
        <v>5.5164999999999997</v>
      </c>
      <c r="P719" s="377">
        <f>IFERROR(O719*VLOOKUP(G719,MODULY_CBA!$B$3:$F$23,5,0),)</f>
        <v>165.495</v>
      </c>
      <c r="Q719" s="478" t="str">
        <f>IFERROR(VLOOKUP(G719,MODULY_CBA!$B$3:$I$23,6,0),"")</f>
        <v>Inkrement 5</v>
      </c>
    </row>
    <row r="720" spans="1:17">
      <c r="A720" s="401">
        <v>718</v>
      </c>
      <c r="B720" s="401" t="s">
        <v>475</v>
      </c>
      <c r="C720" s="530" t="s">
        <v>1176</v>
      </c>
      <c r="D720" s="530" t="s">
        <v>1178</v>
      </c>
      <c r="E720" s="530"/>
      <c r="F720" s="389" t="s">
        <v>8</v>
      </c>
      <c r="G720" s="389" t="s">
        <v>265</v>
      </c>
      <c r="H720" s="379">
        <v>1</v>
      </c>
      <c r="I720" s="379">
        <v>5</v>
      </c>
      <c r="J720" s="379">
        <f t="shared" si="49"/>
        <v>1</v>
      </c>
      <c r="K720" s="379">
        <f t="shared" si="50"/>
        <v>5</v>
      </c>
      <c r="L720" s="643">
        <f>IFERROR(IF(B720="funkcna poziadavka",VLOOKUP(G720,MODULY_CBA!$B$3:$E$23,4,0)*H720/SUMIFS($H$3:$H$199,$G$3:$G$199,G720,$B$3:$B$199,B720),),)</f>
        <v>0</v>
      </c>
      <c r="M720" s="379">
        <f>IFERROR(IF(B720="Funkcna poziadavka",VLOOKUP(G720,MODULY_CBA!$B$3:$E$23,3,0),),)</f>
        <v>0.93499999999999994</v>
      </c>
      <c r="N720" s="379">
        <f>IFERROR(IF(B720="funkcna poziadavka",VLOOKUP(G720,MODULY_CBA!$B$3:$E$23,2,0),),)</f>
        <v>1.18</v>
      </c>
      <c r="O720" s="378">
        <f t="shared" si="51"/>
        <v>5.5164999999999997</v>
      </c>
      <c r="P720" s="377">
        <f>IFERROR(O720*VLOOKUP(G720,MODULY_CBA!$B$3:$F$23,5,0),)</f>
        <v>165.495</v>
      </c>
      <c r="Q720" s="478" t="str">
        <f>IFERROR(VLOOKUP(G720,MODULY_CBA!$B$3:$I$23,6,0),"")</f>
        <v>Inkrement 5</v>
      </c>
    </row>
    <row r="721" spans="1:17">
      <c r="A721" s="401">
        <v>719</v>
      </c>
      <c r="B721" s="401" t="s">
        <v>475</v>
      </c>
      <c r="C721" s="530" t="s">
        <v>1179</v>
      </c>
      <c r="D721" s="530" t="s">
        <v>1180</v>
      </c>
      <c r="E721" s="530"/>
      <c r="F721" s="389" t="s">
        <v>8</v>
      </c>
      <c r="G721" s="389" t="s">
        <v>265</v>
      </c>
      <c r="H721" s="379">
        <v>1</v>
      </c>
      <c r="I721" s="379">
        <v>5</v>
      </c>
      <c r="J721" s="379">
        <f t="shared" si="49"/>
        <v>1</v>
      </c>
      <c r="K721" s="379">
        <f t="shared" si="50"/>
        <v>5</v>
      </c>
      <c r="L721" s="643">
        <f>IFERROR(IF(B721="funkcna poziadavka",VLOOKUP(G721,MODULY_CBA!$B$3:$E$23,4,0)*H721/SUMIFS($H$3:$H$199,$G$3:$G$199,G721,$B$3:$B$199,B721),),)</f>
        <v>0</v>
      </c>
      <c r="M721" s="379">
        <f>IFERROR(IF(B721="Funkcna poziadavka",VLOOKUP(G721,MODULY_CBA!$B$3:$E$23,3,0),),)</f>
        <v>0.93499999999999994</v>
      </c>
      <c r="N721" s="379">
        <f>IFERROR(IF(B721="funkcna poziadavka",VLOOKUP(G721,MODULY_CBA!$B$3:$E$23,2,0),),)</f>
        <v>1.18</v>
      </c>
      <c r="O721" s="378">
        <f t="shared" si="51"/>
        <v>5.5164999999999997</v>
      </c>
      <c r="P721" s="377">
        <f>IFERROR(O721*VLOOKUP(G721,MODULY_CBA!$B$3:$F$23,5,0),)</f>
        <v>165.495</v>
      </c>
      <c r="Q721" s="478" t="str">
        <f>IFERROR(VLOOKUP(G721,MODULY_CBA!$B$3:$I$23,6,0),"")</f>
        <v>Inkrement 5</v>
      </c>
    </row>
    <row r="722" spans="1:17">
      <c r="A722" s="401">
        <v>720</v>
      </c>
      <c r="B722" s="401" t="s">
        <v>475</v>
      </c>
      <c r="C722" s="530" t="s">
        <v>1181</v>
      </c>
      <c r="D722" s="530" t="s">
        <v>1182</v>
      </c>
      <c r="E722" s="530"/>
      <c r="F722" s="389" t="s">
        <v>8</v>
      </c>
      <c r="G722" s="389" t="s">
        <v>265</v>
      </c>
      <c r="H722" s="379">
        <v>1</v>
      </c>
      <c r="I722" s="379">
        <v>5</v>
      </c>
      <c r="J722" s="379">
        <f t="shared" si="49"/>
        <v>1</v>
      </c>
      <c r="K722" s="379">
        <f t="shared" si="50"/>
        <v>5</v>
      </c>
      <c r="L722" s="643">
        <f>IFERROR(IF(B722="funkcna poziadavka",VLOOKUP(G722,MODULY_CBA!$B$3:$E$23,4,0)*H722/SUMIFS($H$3:$H$199,$G$3:$G$199,G722,$B$3:$B$199,B722),),)</f>
        <v>0</v>
      </c>
      <c r="M722" s="379">
        <f>IFERROR(IF(B722="Funkcna poziadavka",VLOOKUP(G722,MODULY_CBA!$B$3:$E$23,3,0),),)</f>
        <v>0.93499999999999994</v>
      </c>
      <c r="N722" s="379">
        <f>IFERROR(IF(B722="funkcna poziadavka",VLOOKUP(G722,MODULY_CBA!$B$3:$E$23,2,0),),)</f>
        <v>1.18</v>
      </c>
      <c r="O722" s="378">
        <f t="shared" si="51"/>
        <v>5.5164999999999997</v>
      </c>
      <c r="P722" s="377">
        <f>IFERROR(O722*VLOOKUP(G722,MODULY_CBA!$B$3:$F$23,5,0),)</f>
        <v>165.495</v>
      </c>
      <c r="Q722" s="478" t="str">
        <f>IFERROR(VLOOKUP(G722,MODULY_CBA!$B$3:$I$23,6,0),"")</f>
        <v>Inkrement 5</v>
      </c>
    </row>
    <row r="723" spans="1:17">
      <c r="A723" s="401">
        <v>721</v>
      </c>
      <c r="B723" s="401" t="s">
        <v>475</v>
      </c>
      <c r="C723" s="530" t="s">
        <v>1181</v>
      </c>
      <c r="D723" s="530" t="s">
        <v>1183</v>
      </c>
      <c r="E723" s="530"/>
      <c r="F723" s="389" t="s">
        <v>8</v>
      </c>
      <c r="G723" s="389" t="s">
        <v>265</v>
      </c>
      <c r="H723" s="379">
        <v>1</v>
      </c>
      <c r="I723" s="379">
        <v>5</v>
      </c>
      <c r="J723" s="379">
        <f t="shared" si="49"/>
        <v>1</v>
      </c>
      <c r="K723" s="379">
        <f t="shared" si="50"/>
        <v>5</v>
      </c>
      <c r="L723" s="643">
        <f>IFERROR(IF(B723="funkcna poziadavka",VLOOKUP(G723,MODULY_CBA!$B$3:$E$23,4,0)*H723/SUMIFS($H$3:$H$199,$G$3:$G$199,G723,$B$3:$B$199,B723),),)</f>
        <v>0</v>
      </c>
      <c r="M723" s="379">
        <f>IFERROR(IF(B723="Funkcna poziadavka",VLOOKUP(G723,MODULY_CBA!$B$3:$E$23,3,0),),)</f>
        <v>0.93499999999999994</v>
      </c>
      <c r="N723" s="379">
        <f>IFERROR(IF(B723="funkcna poziadavka",VLOOKUP(G723,MODULY_CBA!$B$3:$E$23,2,0),),)</f>
        <v>1.18</v>
      </c>
      <c r="O723" s="378">
        <f t="shared" si="51"/>
        <v>5.5164999999999997</v>
      </c>
      <c r="P723" s="377">
        <f>IFERROR(O723*VLOOKUP(G723,MODULY_CBA!$B$3:$F$23,5,0),)</f>
        <v>165.495</v>
      </c>
      <c r="Q723" s="478" t="str">
        <f>IFERROR(VLOOKUP(G723,MODULY_CBA!$B$3:$I$23,6,0),"")</f>
        <v>Inkrement 5</v>
      </c>
    </row>
    <row r="724" spans="1:17">
      <c r="A724" s="401">
        <v>722</v>
      </c>
      <c r="B724" s="401" t="s">
        <v>475</v>
      </c>
      <c r="C724" s="530" t="s">
        <v>1184</v>
      </c>
      <c r="D724" s="530" t="s">
        <v>1068</v>
      </c>
      <c r="E724" s="389"/>
      <c r="F724" s="389" t="s">
        <v>8</v>
      </c>
      <c r="G724" s="389" t="s">
        <v>265</v>
      </c>
      <c r="H724" s="379">
        <v>1</v>
      </c>
      <c r="I724" s="379">
        <v>5</v>
      </c>
      <c r="J724" s="379">
        <f t="shared" si="49"/>
        <v>1</v>
      </c>
      <c r="K724" s="379">
        <f t="shared" si="50"/>
        <v>5</v>
      </c>
      <c r="L724" s="643">
        <f>IFERROR(IF(B724="funkcna poziadavka",VLOOKUP(G724,MODULY_CBA!$B$3:$E$23,4,0)*H724/SUMIFS($H$3:$H$199,$G$3:$G$199,G724,$B$3:$B$199,B724),),)</f>
        <v>0</v>
      </c>
      <c r="M724" s="379">
        <f>IFERROR(IF(B724="Funkcna poziadavka",VLOOKUP(G724,MODULY_CBA!$B$3:$E$23,3,0),),)</f>
        <v>0.93499999999999994</v>
      </c>
      <c r="N724" s="379">
        <f>IFERROR(IF(B724="funkcna poziadavka",VLOOKUP(G724,MODULY_CBA!$B$3:$E$23,2,0),),)</f>
        <v>1.18</v>
      </c>
      <c r="O724" s="378">
        <f t="shared" si="51"/>
        <v>5.5164999999999997</v>
      </c>
      <c r="P724" s="377">
        <f>IFERROR(O724*VLOOKUP(G724,MODULY_CBA!$B$3:$F$23,5,0),)</f>
        <v>165.495</v>
      </c>
      <c r="Q724" s="478" t="str">
        <f>IFERROR(VLOOKUP(G724,MODULY_CBA!$B$3:$I$23,6,0),"")</f>
        <v>Inkrement 5</v>
      </c>
    </row>
    <row r="725" spans="1:17">
      <c r="A725" s="401">
        <v>723</v>
      </c>
      <c r="B725" s="401" t="s">
        <v>475</v>
      </c>
      <c r="C725" s="530" t="s">
        <v>1184</v>
      </c>
      <c r="D725" s="530" t="s">
        <v>1069</v>
      </c>
      <c r="E725" s="389"/>
      <c r="F725" s="389" t="s">
        <v>8</v>
      </c>
      <c r="G725" s="389" t="s">
        <v>265</v>
      </c>
      <c r="H725" s="379">
        <v>1</v>
      </c>
      <c r="I725" s="379">
        <v>5</v>
      </c>
      <c r="J725" s="379">
        <f t="shared" si="49"/>
        <v>1</v>
      </c>
      <c r="K725" s="379">
        <f t="shared" si="50"/>
        <v>5</v>
      </c>
      <c r="L725" s="643">
        <f>IFERROR(IF(B725="funkcna poziadavka",VLOOKUP(G725,MODULY_CBA!$B$3:$E$23,4,0)*H725/SUMIFS($H$3:$H$199,$G$3:$G$199,G725,$B$3:$B$199,B725),),)</f>
        <v>0</v>
      </c>
      <c r="M725" s="379">
        <f>IFERROR(IF(B725="Funkcna poziadavka",VLOOKUP(G725,MODULY_CBA!$B$3:$E$23,3,0),),)</f>
        <v>0.93499999999999994</v>
      </c>
      <c r="N725" s="379">
        <f>IFERROR(IF(B725="funkcna poziadavka",VLOOKUP(G725,MODULY_CBA!$B$3:$E$23,2,0),),)</f>
        <v>1.18</v>
      </c>
      <c r="O725" s="378">
        <f t="shared" si="51"/>
        <v>5.5164999999999997</v>
      </c>
      <c r="P725" s="377">
        <f>IFERROR(O725*VLOOKUP(G725,MODULY_CBA!$B$3:$F$23,5,0),)</f>
        <v>165.495</v>
      </c>
      <c r="Q725" s="478" t="str">
        <f>IFERROR(VLOOKUP(G725,MODULY_CBA!$B$3:$I$23,6,0),"")</f>
        <v>Inkrement 5</v>
      </c>
    </row>
    <row r="726" spans="1:17">
      <c r="A726" s="401">
        <v>724</v>
      </c>
      <c r="B726" s="401" t="s">
        <v>475</v>
      </c>
      <c r="C726" s="530" t="s">
        <v>1184</v>
      </c>
      <c r="D726" s="530" t="s">
        <v>1070</v>
      </c>
      <c r="E726" s="389"/>
      <c r="F726" s="389" t="s">
        <v>8</v>
      </c>
      <c r="G726" s="389" t="s">
        <v>265</v>
      </c>
      <c r="H726" s="379">
        <v>1</v>
      </c>
      <c r="I726" s="379">
        <v>5</v>
      </c>
      <c r="J726" s="379">
        <f t="shared" si="49"/>
        <v>1</v>
      </c>
      <c r="K726" s="379">
        <f t="shared" si="50"/>
        <v>5</v>
      </c>
      <c r="L726" s="643">
        <f>IFERROR(IF(B726="funkcna poziadavka",VLOOKUP(G726,MODULY_CBA!$B$3:$E$23,4,0)*H726/SUMIFS($H$3:$H$199,$G$3:$G$199,G726,$B$3:$B$199,B726),),)</f>
        <v>0</v>
      </c>
      <c r="M726" s="379">
        <f>IFERROR(IF(B726="Funkcna poziadavka",VLOOKUP(G726,MODULY_CBA!$B$3:$E$23,3,0),),)</f>
        <v>0.93499999999999994</v>
      </c>
      <c r="N726" s="379">
        <f>IFERROR(IF(B726="funkcna poziadavka",VLOOKUP(G726,MODULY_CBA!$B$3:$E$23,2,0),),)</f>
        <v>1.18</v>
      </c>
      <c r="O726" s="378">
        <f t="shared" si="51"/>
        <v>5.5164999999999997</v>
      </c>
      <c r="P726" s="377">
        <f>IFERROR(O726*VLOOKUP(G726,MODULY_CBA!$B$3:$F$23,5,0),)</f>
        <v>165.495</v>
      </c>
      <c r="Q726" s="478" t="str">
        <f>IFERROR(VLOOKUP(G726,MODULY_CBA!$B$3:$I$23,6,0),"")</f>
        <v>Inkrement 5</v>
      </c>
    </row>
    <row r="727" spans="1:17">
      <c r="A727" s="401">
        <v>725</v>
      </c>
      <c r="B727" s="401" t="s">
        <v>475</v>
      </c>
      <c r="C727" s="530" t="s">
        <v>1185</v>
      </c>
      <c r="D727" s="530" t="s">
        <v>1174</v>
      </c>
      <c r="E727" s="530"/>
      <c r="F727" s="389" t="s">
        <v>8</v>
      </c>
      <c r="G727" s="389" t="s">
        <v>265</v>
      </c>
      <c r="H727" s="379">
        <v>1</v>
      </c>
      <c r="I727" s="379">
        <v>5</v>
      </c>
      <c r="J727" s="379">
        <f t="shared" si="49"/>
        <v>1</v>
      </c>
      <c r="K727" s="379">
        <f t="shared" si="50"/>
        <v>5</v>
      </c>
      <c r="L727" s="643">
        <f>IFERROR(IF(B727="funkcna poziadavka",VLOOKUP(G727,MODULY_CBA!$B$3:$E$23,4,0)*H727/SUMIFS($H$3:$H$199,$G$3:$G$199,G727,$B$3:$B$199,B727),),)</f>
        <v>0</v>
      </c>
      <c r="M727" s="379">
        <f>IFERROR(IF(B727="Funkcna poziadavka",VLOOKUP(G727,MODULY_CBA!$B$3:$E$23,3,0),),)</f>
        <v>0.93499999999999994</v>
      </c>
      <c r="N727" s="379">
        <f>IFERROR(IF(B727="funkcna poziadavka",VLOOKUP(G727,MODULY_CBA!$B$3:$E$23,2,0),),)</f>
        <v>1.18</v>
      </c>
      <c r="O727" s="378">
        <f t="shared" si="51"/>
        <v>5.5164999999999997</v>
      </c>
      <c r="P727" s="377">
        <f>IFERROR(O727*VLOOKUP(G727,MODULY_CBA!$B$3:$F$23,5,0),)</f>
        <v>165.495</v>
      </c>
      <c r="Q727" s="478" t="str">
        <f>IFERROR(VLOOKUP(G727,MODULY_CBA!$B$3:$I$23,6,0),"")</f>
        <v>Inkrement 5</v>
      </c>
    </row>
    <row r="728" spans="1:17">
      <c r="A728" s="401">
        <v>726</v>
      </c>
      <c r="B728" s="401" t="s">
        <v>475</v>
      </c>
      <c r="C728" s="532" t="s">
        <v>1186</v>
      </c>
      <c r="D728" s="532" t="s">
        <v>1075</v>
      </c>
      <c r="E728" s="389"/>
      <c r="F728" s="389" t="s">
        <v>8</v>
      </c>
      <c r="G728" s="389" t="s">
        <v>265</v>
      </c>
      <c r="H728" s="379">
        <v>1</v>
      </c>
      <c r="I728" s="379">
        <v>5</v>
      </c>
      <c r="J728" s="379">
        <f t="shared" si="49"/>
        <v>1</v>
      </c>
      <c r="K728" s="379">
        <f t="shared" si="50"/>
        <v>5</v>
      </c>
      <c r="L728" s="643">
        <f>IFERROR(IF(B728="funkcna poziadavka",VLOOKUP(G728,MODULY_CBA!$B$3:$E$23,4,0)*H728/SUMIFS($H$3:$H$199,$G$3:$G$199,G728,$B$3:$B$199,B728),),)</f>
        <v>0</v>
      </c>
      <c r="M728" s="379">
        <f>IFERROR(IF(B728="Funkcna poziadavka",VLOOKUP(G728,MODULY_CBA!$B$3:$E$23,3,0),),)</f>
        <v>0.93499999999999994</v>
      </c>
      <c r="N728" s="379">
        <f>IFERROR(IF(B728="funkcna poziadavka",VLOOKUP(G728,MODULY_CBA!$B$3:$E$23,2,0),),)</f>
        <v>1.18</v>
      </c>
      <c r="O728" s="378">
        <f t="shared" si="51"/>
        <v>5.5164999999999997</v>
      </c>
      <c r="P728" s="377">
        <f>IFERROR(O728*VLOOKUP(G728,MODULY_CBA!$B$3:$F$23,5,0),)</f>
        <v>165.495</v>
      </c>
      <c r="Q728" s="478" t="str">
        <f>IFERROR(VLOOKUP(G728,MODULY_CBA!$B$3:$I$23,6,0),"")</f>
        <v>Inkrement 5</v>
      </c>
    </row>
    <row r="729" spans="1:17">
      <c r="A729" s="401">
        <v>727</v>
      </c>
      <c r="B729" s="401" t="s">
        <v>475</v>
      </c>
      <c r="C729" s="532" t="s">
        <v>1186</v>
      </c>
      <c r="D729" s="532" t="s">
        <v>1076</v>
      </c>
      <c r="E729" s="389"/>
      <c r="F729" s="389" t="s">
        <v>8</v>
      </c>
      <c r="G729" s="389" t="s">
        <v>265</v>
      </c>
      <c r="H729" s="379">
        <v>1</v>
      </c>
      <c r="I729" s="379">
        <v>5</v>
      </c>
      <c r="J729" s="379">
        <f t="shared" si="49"/>
        <v>1</v>
      </c>
      <c r="K729" s="379">
        <f t="shared" si="50"/>
        <v>5</v>
      </c>
      <c r="L729" s="643">
        <f>IFERROR(IF(B729="funkcna poziadavka",VLOOKUP(G729,MODULY_CBA!$B$3:$E$23,4,0)*H729/SUMIFS($H$3:$H$199,$G$3:$G$199,G729,$B$3:$B$199,B729),),)</f>
        <v>0</v>
      </c>
      <c r="M729" s="379">
        <f>IFERROR(IF(B729="Funkcna poziadavka",VLOOKUP(G729,MODULY_CBA!$B$3:$E$23,3,0),),)</f>
        <v>0.93499999999999994</v>
      </c>
      <c r="N729" s="379">
        <f>IFERROR(IF(B729="funkcna poziadavka",VLOOKUP(G729,MODULY_CBA!$B$3:$E$23,2,0),),)</f>
        <v>1.18</v>
      </c>
      <c r="O729" s="378">
        <f t="shared" si="51"/>
        <v>5.5164999999999997</v>
      </c>
      <c r="P729" s="377">
        <f>IFERROR(O729*VLOOKUP(G729,MODULY_CBA!$B$3:$F$23,5,0),)</f>
        <v>165.495</v>
      </c>
      <c r="Q729" s="478" t="str">
        <f>IFERROR(VLOOKUP(G729,MODULY_CBA!$B$3:$I$23,6,0),"")</f>
        <v>Inkrement 5</v>
      </c>
    </row>
    <row r="730" spans="1:17">
      <c r="A730" s="401">
        <v>728</v>
      </c>
      <c r="B730" s="401" t="s">
        <v>475</v>
      </c>
      <c r="C730" s="530" t="s">
        <v>1187</v>
      </c>
      <c r="D730" s="530" t="s">
        <v>1188</v>
      </c>
      <c r="E730" s="530"/>
      <c r="F730" s="389" t="s">
        <v>8</v>
      </c>
      <c r="G730" s="389" t="s">
        <v>265</v>
      </c>
      <c r="H730" s="379">
        <v>1</v>
      </c>
      <c r="I730" s="379">
        <v>5</v>
      </c>
      <c r="J730" s="379">
        <f t="shared" si="49"/>
        <v>1</v>
      </c>
      <c r="K730" s="379">
        <f t="shared" si="50"/>
        <v>5</v>
      </c>
      <c r="L730" s="643">
        <f>IFERROR(IF(B730="funkcna poziadavka",VLOOKUP(G730,MODULY_CBA!$B$3:$E$23,4,0)*H730/SUMIFS($H$3:$H$199,$G$3:$G$199,G730,$B$3:$B$199,B730),),)</f>
        <v>0</v>
      </c>
      <c r="M730" s="379">
        <f>IFERROR(IF(B730="Funkcna poziadavka",VLOOKUP(G730,MODULY_CBA!$B$3:$E$23,3,0),),)</f>
        <v>0.93499999999999994</v>
      </c>
      <c r="N730" s="379">
        <f>IFERROR(IF(B730="funkcna poziadavka",VLOOKUP(G730,MODULY_CBA!$B$3:$E$23,2,0),),)</f>
        <v>1.18</v>
      </c>
      <c r="O730" s="378">
        <f t="shared" si="51"/>
        <v>5.5164999999999997</v>
      </c>
      <c r="P730" s="377">
        <f>IFERROR(O730*VLOOKUP(G730,MODULY_CBA!$B$3:$F$23,5,0),)</f>
        <v>165.495</v>
      </c>
      <c r="Q730" s="478" t="str">
        <f>IFERROR(VLOOKUP(G730,MODULY_CBA!$B$3:$I$23,6,0),"")</f>
        <v>Inkrement 5</v>
      </c>
    </row>
    <row r="731" spans="1:17">
      <c r="A731" s="401">
        <v>729</v>
      </c>
      <c r="B731" s="401" t="s">
        <v>475</v>
      </c>
      <c r="C731" s="530" t="s">
        <v>1189</v>
      </c>
      <c r="D731" s="530" t="s">
        <v>1167</v>
      </c>
      <c r="E731" s="530"/>
      <c r="F731" s="389" t="s">
        <v>8</v>
      </c>
      <c r="G731" s="389" t="s">
        <v>265</v>
      </c>
      <c r="H731" s="379">
        <v>1</v>
      </c>
      <c r="I731" s="379">
        <v>5</v>
      </c>
      <c r="J731" s="379">
        <f t="shared" si="49"/>
        <v>1</v>
      </c>
      <c r="K731" s="379">
        <f t="shared" si="50"/>
        <v>5</v>
      </c>
      <c r="L731" s="643">
        <f>IFERROR(IF(B731="funkcna poziadavka",VLOOKUP(G731,MODULY_CBA!$B$3:$E$23,4,0)*H731/SUMIFS($H$3:$H$199,$G$3:$G$199,G731,$B$3:$B$199,B731),),)</f>
        <v>0</v>
      </c>
      <c r="M731" s="379">
        <f>IFERROR(IF(B731="Funkcna poziadavka",VLOOKUP(G731,MODULY_CBA!$B$3:$E$23,3,0),),)</f>
        <v>0.93499999999999994</v>
      </c>
      <c r="N731" s="379">
        <f>IFERROR(IF(B731="funkcna poziadavka",VLOOKUP(G731,MODULY_CBA!$B$3:$E$23,2,0),),)</f>
        <v>1.18</v>
      </c>
      <c r="O731" s="378">
        <f t="shared" si="51"/>
        <v>5.5164999999999997</v>
      </c>
      <c r="P731" s="377">
        <f>IFERROR(O731*VLOOKUP(G731,MODULY_CBA!$B$3:$F$23,5,0),)</f>
        <v>165.495</v>
      </c>
      <c r="Q731" s="478" t="str">
        <f>IFERROR(VLOOKUP(G731,MODULY_CBA!$B$3:$I$23,6,0),"")</f>
        <v>Inkrement 5</v>
      </c>
    </row>
    <row r="732" spans="1:17">
      <c r="A732" s="401">
        <v>730</v>
      </c>
      <c r="B732" s="401" t="s">
        <v>475</v>
      </c>
      <c r="C732" s="530" t="s">
        <v>1189</v>
      </c>
      <c r="D732" s="530" t="s">
        <v>1168</v>
      </c>
      <c r="E732" s="530"/>
      <c r="F732" s="389" t="s">
        <v>8</v>
      </c>
      <c r="G732" s="389" t="s">
        <v>265</v>
      </c>
      <c r="H732" s="379">
        <v>1</v>
      </c>
      <c r="I732" s="379">
        <v>5</v>
      </c>
      <c r="J732" s="379">
        <f t="shared" si="49"/>
        <v>1</v>
      </c>
      <c r="K732" s="379">
        <f t="shared" si="50"/>
        <v>5</v>
      </c>
      <c r="L732" s="643">
        <f>IFERROR(IF(B732="funkcna poziadavka",VLOOKUP(G732,MODULY_CBA!$B$3:$E$23,4,0)*H732/SUMIFS($H$3:$H$199,$G$3:$G$199,G732,$B$3:$B$199,B732),),)</f>
        <v>0</v>
      </c>
      <c r="M732" s="379">
        <f>IFERROR(IF(B732="Funkcna poziadavka",VLOOKUP(G732,MODULY_CBA!$B$3:$E$23,3,0),),)</f>
        <v>0.93499999999999994</v>
      </c>
      <c r="N732" s="379">
        <f>IFERROR(IF(B732="funkcna poziadavka",VLOOKUP(G732,MODULY_CBA!$B$3:$E$23,2,0),),)</f>
        <v>1.18</v>
      </c>
      <c r="O732" s="378">
        <f t="shared" si="51"/>
        <v>5.5164999999999997</v>
      </c>
      <c r="P732" s="377">
        <f>IFERROR(O732*VLOOKUP(G732,MODULY_CBA!$B$3:$F$23,5,0),)</f>
        <v>165.495</v>
      </c>
      <c r="Q732" s="478" t="str">
        <f>IFERROR(VLOOKUP(G732,MODULY_CBA!$B$3:$I$23,6,0),"")</f>
        <v>Inkrement 5</v>
      </c>
    </row>
    <row r="733" spans="1:17">
      <c r="A733" s="401">
        <v>731</v>
      </c>
      <c r="B733" s="401" t="s">
        <v>475</v>
      </c>
      <c r="C733" s="530" t="s">
        <v>1189</v>
      </c>
      <c r="D733" s="530" t="s">
        <v>1190</v>
      </c>
      <c r="E733" s="530"/>
      <c r="F733" s="389" t="s">
        <v>8</v>
      </c>
      <c r="G733" s="389" t="s">
        <v>265</v>
      </c>
      <c r="H733" s="379">
        <v>1</v>
      </c>
      <c r="I733" s="379">
        <v>5</v>
      </c>
      <c r="J733" s="379">
        <f t="shared" si="49"/>
        <v>1</v>
      </c>
      <c r="K733" s="379">
        <f t="shared" si="50"/>
        <v>5</v>
      </c>
      <c r="L733" s="643">
        <f>IFERROR(IF(B733="funkcna poziadavka",VLOOKUP(G733,MODULY_CBA!$B$3:$E$23,4,0)*H733/SUMIFS($H$3:$H$199,$G$3:$G$199,G733,$B$3:$B$199,B733),),)</f>
        <v>0</v>
      </c>
      <c r="M733" s="379">
        <f>IFERROR(IF(B733="Funkcna poziadavka",VLOOKUP(G733,MODULY_CBA!$B$3:$E$23,3,0),),)</f>
        <v>0.93499999999999994</v>
      </c>
      <c r="N733" s="379">
        <f>IFERROR(IF(B733="funkcna poziadavka",VLOOKUP(G733,MODULY_CBA!$B$3:$E$23,2,0),),)</f>
        <v>1.18</v>
      </c>
      <c r="O733" s="378">
        <f t="shared" si="51"/>
        <v>5.5164999999999997</v>
      </c>
      <c r="P733" s="377">
        <f>IFERROR(O733*VLOOKUP(G733,MODULY_CBA!$B$3:$F$23,5,0),)</f>
        <v>165.495</v>
      </c>
      <c r="Q733" s="478" t="str">
        <f>IFERROR(VLOOKUP(G733,MODULY_CBA!$B$3:$I$23,6,0),"")</f>
        <v>Inkrement 5</v>
      </c>
    </row>
    <row r="734" spans="1:17">
      <c r="A734" s="401">
        <v>732</v>
      </c>
      <c r="B734" s="401" t="s">
        <v>475</v>
      </c>
      <c r="C734" s="530" t="s">
        <v>1191</v>
      </c>
      <c r="D734" s="530" t="s">
        <v>1192</v>
      </c>
      <c r="E734" s="530"/>
      <c r="F734" s="389" t="s">
        <v>8</v>
      </c>
      <c r="G734" s="389" t="s">
        <v>265</v>
      </c>
      <c r="H734" s="379">
        <v>1</v>
      </c>
      <c r="I734" s="379">
        <v>5</v>
      </c>
      <c r="J734" s="379">
        <f t="shared" si="49"/>
        <v>1</v>
      </c>
      <c r="K734" s="379">
        <f t="shared" si="50"/>
        <v>5</v>
      </c>
      <c r="L734" s="643">
        <f>IFERROR(IF(B734="funkcna poziadavka",VLOOKUP(G734,MODULY_CBA!$B$3:$E$23,4,0)*H734/SUMIFS($H$3:$H$199,$G$3:$G$199,G734,$B$3:$B$199,B734),),)</f>
        <v>0</v>
      </c>
      <c r="M734" s="379">
        <f>IFERROR(IF(B734="Funkcna poziadavka",VLOOKUP(G734,MODULY_CBA!$B$3:$E$23,3,0),),)</f>
        <v>0.93499999999999994</v>
      </c>
      <c r="N734" s="379">
        <f>IFERROR(IF(B734="funkcna poziadavka",VLOOKUP(G734,MODULY_CBA!$B$3:$E$23,2,0),),)</f>
        <v>1.18</v>
      </c>
      <c r="O734" s="378">
        <f t="shared" si="51"/>
        <v>5.5164999999999997</v>
      </c>
      <c r="P734" s="377">
        <f>IFERROR(O734*VLOOKUP(G734,MODULY_CBA!$B$3:$F$23,5,0),)</f>
        <v>165.495</v>
      </c>
      <c r="Q734" s="478" t="str">
        <f>IFERROR(VLOOKUP(G734,MODULY_CBA!$B$3:$I$23,6,0),"")</f>
        <v>Inkrement 5</v>
      </c>
    </row>
    <row r="735" spans="1:17">
      <c r="A735" s="401">
        <v>733</v>
      </c>
      <c r="B735" s="401" t="s">
        <v>475</v>
      </c>
      <c r="C735" s="530" t="s">
        <v>1191</v>
      </c>
      <c r="D735" s="530" t="s">
        <v>1193</v>
      </c>
      <c r="E735" s="530"/>
      <c r="F735" s="389" t="s">
        <v>8</v>
      </c>
      <c r="G735" s="389" t="s">
        <v>265</v>
      </c>
      <c r="H735" s="379">
        <v>1</v>
      </c>
      <c r="I735" s="379">
        <v>5</v>
      </c>
      <c r="J735" s="379">
        <f t="shared" si="49"/>
        <v>1</v>
      </c>
      <c r="K735" s="379">
        <f t="shared" si="50"/>
        <v>5</v>
      </c>
      <c r="L735" s="643">
        <f>IFERROR(IF(B735="funkcna poziadavka",VLOOKUP(G735,MODULY_CBA!$B$3:$E$23,4,0)*H735/SUMIFS($H$3:$H$199,$G$3:$G$199,G735,$B$3:$B$199,B735),),)</f>
        <v>0</v>
      </c>
      <c r="M735" s="379">
        <f>IFERROR(IF(B735="Funkcna poziadavka",VLOOKUP(G735,MODULY_CBA!$B$3:$E$23,3,0),),)</f>
        <v>0.93499999999999994</v>
      </c>
      <c r="N735" s="379">
        <f>IFERROR(IF(B735="funkcna poziadavka",VLOOKUP(G735,MODULY_CBA!$B$3:$E$23,2,0),),)</f>
        <v>1.18</v>
      </c>
      <c r="O735" s="378">
        <f t="shared" si="51"/>
        <v>5.5164999999999997</v>
      </c>
      <c r="P735" s="377">
        <f>IFERROR(O735*VLOOKUP(G735,MODULY_CBA!$B$3:$F$23,5,0),)</f>
        <v>165.495</v>
      </c>
      <c r="Q735" s="478" t="str">
        <f>IFERROR(VLOOKUP(G735,MODULY_CBA!$B$3:$I$23,6,0),"")</f>
        <v>Inkrement 5</v>
      </c>
    </row>
    <row r="736" spans="1:17">
      <c r="A736" s="401">
        <v>734</v>
      </c>
      <c r="B736" s="401" t="s">
        <v>475</v>
      </c>
      <c r="C736" s="530" t="s">
        <v>1191</v>
      </c>
      <c r="D736" s="530" t="s">
        <v>1194</v>
      </c>
      <c r="E736" s="530"/>
      <c r="F736" s="389" t="s">
        <v>8</v>
      </c>
      <c r="G736" s="389" t="s">
        <v>265</v>
      </c>
      <c r="H736" s="379">
        <v>1</v>
      </c>
      <c r="I736" s="379">
        <v>5</v>
      </c>
      <c r="J736" s="379">
        <f t="shared" si="49"/>
        <v>1</v>
      </c>
      <c r="K736" s="379">
        <f t="shared" si="50"/>
        <v>5</v>
      </c>
      <c r="L736" s="643">
        <f>IFERROR(IF(B736="funkcna poziadavka",VLOOKUP(G736,MODULY_CBA!$B$3:$E$23,4,0)*H736/SUMIFS($H$3:$H$199,$G$3:$G$199,G736,$B$3:$B$199,B736),),)</f>
        <v>0</v>
      </c>
      <c r="M736" s="379">
        <f>IFERROR(IF(B736="Funkcna poziadavka",VLOOKUP(G736,MODULY_CBA!$B$3:$E$23,3,0),),)</f>
        <v>0.93499999999999994</v>
      </c>
      <c r="N736" s="379">
        <f>IFERROR(IF(B736="funkcna poziadavka",VLOOKUP(G736,MODULY_CBA!$B$3:$E$23,2,0),),)</f>
        <v>1.18</v>
      </c>
      <c r="O736" s="378">
        <f t="shared" si="51"/>
        <v>5.5164999999999997</v>
      </c>
      <c r="P736" s="377">
        <f>IFERROR(O736*VLOOKUP(G736,MODULY_CBA!$B$3:$F$23,5,0),)</f>
        <v>165.495</v>
      </c>
      <c r="Q736" s="478" t="str">
        <f>IFERROR(VLOOKUP(G736,MODULY_CBA!$B$3:$I$23,6,0),"")</f>
        <v>Inkrement 5</v>
      </c>
    </row>
    <row r="737" spans="1:17">
      <c r="A737" s="401">
        <v>735</v>
      </c>
      <c r="B737" s="401" t="s">
        <v>475</v>
      </c>
      <c r="C737" s="530" t="s">
        <v>1195</v>
      </c>
      <c r="D737" s="530" t="s">
        <v>1068</v>
      </c>
      <c r="E737" s="389"/>
      <c r="F737" s="389" t="s">
        <v>8</v>
      </c>
      <c r="G737" s="389" t="s">
        <v>265</v>
      </c>
      <c r="H737" s="379">
        <v>1</v>
      </c>
      <c r="I737" s="379">
        <v>5</v>
      </c>
      <c r="J737" s="379">
        <f t="shared" si="49"/>
        <v>1</v>
      </c>
      <c r="K737" s="379">
        <f t="shared" si="50"/>
        <v>5</v>
      </c>
      <c r="L737" s="643">
        <f>IFERROR(IF(B737="funkcna poziadavka",VLOOKUP(G737,MODULY_CBA!$B$3:$E$23,4,0)*H737/SUMIFS($H$3:$H$199,$G$3:$G$199,G737,$B$3:$B$199,B737),),)</f>
        <v>0</v>
      </c>
      <c r="M737" s="379">
        <f>IFERROR(IF(B737="Funkcna poziadavka",VLOOKUP(G737,MODULY_CBA!$B$3:$E$23,3,0),),)</f>
        <v>0.93499999999999994</v>
      </c>
      <c r="N737" s="379">
        <f>IFERROR(IF(B737="funkcna poziadavka",VLOOKUP(G737,MODULY_CBA!$B$3:$E$23,2,0),),)</f>
        <v>1.18</v>
      </c>
      <c r="O737" s="378">
        <f t="shared" si="51"/>
        <v>5.5164999999999997</v>
      </c>
      <c r="P737" s="377">
        <f>IFERROR(O737*VLOOKUP(G737,MODULY_CBA!$B$3:$F$23,5,0),)</f>
        <v>165.495</v>
      </c>
      <c r="Q737" s="478" t="str">
        <f>IFERROR(VLOOKUP(G737,MODULY_CBA!$B$3:$I$23,6,0),"")</f>
        <v>Inkrement 5</v>
      </c>
    </row>
    <row r="738" spans="1:17">
      <c r="A738" s="401">
        <v>736</v>
      </c>
      <c r="B738" s="401" t="s">
        <v>475</v>
      </c>
      <c r="C738" s="530" t="s">
        <v>1195</v>
      </c>
      <c r="D738" s="530" t="s">
        <v>1069</v>
      </c>
      <c r="E738" s="389"/>
      <c r="F738" s="389" t="s">
        <v>8</v>
      </c>
      <c r="G738" s="389" t="s">
        <v>265</v>
      </c>
      <c r="H738" s="379">
        <v>1</v>
      </c>
      <c r="I738" s="379">
        <v>5</v>
      </c>
      <c r="J738" s="379">
        <f t="shared" si="49"/>
        <v>1</v>
      </c>
      <c r="K738" s="379">
        <f t="shared" si="50"/>
        <v>5</v>
      </c>
      <c r="L738" s="643">
        <f>IFERROR(IF(B738="funkcna poziadavka",VLOOKUP(G738,MODULY_CBA!$B$3:$E$23,4,0)*H738/SUMIFS($H$3:$H$199,$G$3:$G$199,G738,$B$3:$B$199,B738),),)</f>
        <v>0</v>
      </c>
      <c r="M738" s="379">
        <f>IFERROR(IF(B738="Funkcna poziadavka",VLOOKUP(G738,MODULY_CBA!$B$3:$E$23,3,0),),)</f>
        <v>0.93499999999999994</v>
      </c>
      <c r="N738" s="379">
        <f>IFERROR(IF(B738="funkcna poziadavka",VLOOKUP(G738,MODULY_CBA!$B$3:$E$23,2,0),),)</f>
        <v>1.18</v>
      </c>
      <c r="O738" s="378">
        <f t="shared" si="51"/>
        <v>5.5164999999999997</v>
      </c>
      <c r="P738" s="377">
        <f>IFERROR(O738*VLOOKUP(G738,MODULY_CBA!$B$3:$F$23,5,0),)</f>
        <v>165.495</v>
      </c>
      <c r="Q738" s="478" t="str">
        <f>IFERROR(VLOOKUP(G738,MODULY_CBA!$B$3:$I$23,6,0),"")</f>
        <v>Inkrement 5</v>
      </c>
    </row>
    <row r="739" spans="1:17">
      <c r="A739" s="401">
        <v>737</v>
      </c>
      <c r="B739" s="401" t="s">
        <v>475</v>
      </c>
      <c r="C739" s="530" t="s">
        <v>1195</v>
      </c>
      <c r="D739" s="530" t="s">
        <v>1070</v>
      </c>
      <c r="E739" s="389"/>
      <c r="F739" s="389" t="s">
        <v>8</v>
      </c>
      <c r="G739" s="389" t="s">
        <v>265</v>
      </c>
      <c r="H739" s="379">
        <v>1</v>
      </c>
      <c r="I739" s="379">
        <v>5</v>
      </c>
      <c r="J739" s="379">
        <f t="shared" si="49"/>
        <v>1</v>
      </c>
      <c r="K739" s="379">
        <f t="shared" si="50"/>
        <v>5</v>
      </c>
      <c r="L739" s="643">
        <f>IFERROR(IF(B739="funkcna poziadavka",VLOOKUP(G739,MODULY_CBA!$B$3:$E$23,4,0)*H739/SUMIFS($H$3:$H$199,$G$3:$G$199,G739,$B$3:$B$199,B739),),)</f>
        <v>0</v>
      </c>
      <c r="M739" s="379">
        <f>IFERROR(IF(B739="Funkcna poziadavka",VLOOKUP(G739,MODULY_CBA!$B$3:$E$23,3,0),),)</f>
        <v>0.93499999999999994</v>
      </c>
      <c r="N739" s="379">
        <f>IFERROR(IF(B739="funkcna poziadavka",VLOOKUP(G739,MODULY_CBA!$B$3:$E$23,2,0),),)</f>
        <v>1.18</v>
      </c>
      <c r="O739" s="378">
        <f t="shared" si="51"/>
        <v>5.5164999999999997</v>
      </c>
      <c r="P739" s="377">
        <f>IFERROR(O739*VLOOKUP(G739,MODULY_CBA!$B$3:$F$23,5,0),)</f>
        <v>165.495</v>
      </c>
      <c r="Q739" s="478" t="str">
        <f>IFERROR(VLOOKUP(G739,MODULY_CBA!$B$3:$I$23,6,0),"")</f>
        <v>Inkrement 5</v>
      </c>
    </row>
    <row r="740" spans="1:17">
      <c r="A740" s="401">
        <v>738</v>
      </c>
      <c r="B740" s="401" t="s">
        <v>475</v>
      </c>
      <c r="C740" s="530" t="s">
        <v>1196</v>
      </c>
      <c r="D740" s="530" t="s">
        <v>1197</v>
      </c>
      <c r="E740" s="530"/>
      <c r="F740" s="389" t="s">
        <v>8</v>
      </c>
      <c r="G740" s="389" t="s">
        <v>265</v>
      </c>
      <c r="H740" s="379">
        <v>1</v>
      </c>
      <c r="I740" s="379">
        <v>5</v>
      </c>
      <c r="J740" s="379">
        <f t="shared" si="49"/>
        <v>1</v>
      </c>
      <c r="K740" s="379">
        <f t="shared" si="50"/>
        <v>5</v>
      </c>
      <c r="L740" s="643">
        <f>IFERROR(IF(B740="funkcna poziadavka",VLOOKUP(G740,MODULY_CBA!$B$3:$E$23,4,0)*H740/SUMIFS($H$3:$H$199,$G$3:$G$199,G740,$B$3:$B$199,B740),),)</f>
        <v>0</v>
      </c>
      <c r="M740" s="379">
        <f>IFERROR(IF(B740="Funkcna poziadavka",VLOOKUP(G740,MODULY_CBA!$B$3:$E$23,3,0),),)</f>
        <v>0.93499999999999994</v>
      </c>
      <c r="N740" s="379">
        <f>IFERROR(IF(B740="funkcna poziadavka",VLOOKUP(G740,MODULY_CBA!$B$3:$E$23,2,0),),)</f>
        <v>1.18</v>
      </c>
      <c r="O740" s="378">
        <f t="shared" si="51"/>
        <v>5.5164999999999997</v>
      </c>
      <c r="P740" s="377">
        <f>IFERROR(O740*VLOOKUP(G740,MODULY_CBA!$B$3:$F$23,5,0),)</f>
        <v>165.495</v>
      </c>
      <c r="Q740" s="478" t="str">
        <f>IFERROR(VLOOKUP(G740,MODULY_CBA!$B$3:$I$23,6,0),"")</f>
        <v>Inkrement 5</v>
      </c>
    </row>
    <row r="741" spans="1:17">
      <c r="A741" s="401">
        <v>739</v>
      </c>
      <c r="B741" s="401" t="s">
        <v>475</v>
      </c>
      <c r="C741" s="532" t="s">
        <v>1198</v>
      </c>
      <c r="D741" s="532" t="s">
        <v>1075</v>
      </c>
      <c r="E741" s="389"/>
      <c r="F741" s="389" t="s">
        <v>8</v>
      </c>
      <c r="G741" s="389" t="s">
        <v>265</v>
      </c>
      <c r="H741" s="379">
        <v>1</v>
      </c>
      <c r="I741" s="379">
        <v>5</v>
      </c>
      <c r="J741" s="379">
        <f t="shared" si="49"/>
        <v>1</v>
      </c>
      <c r="K741" s="379">
        <f t="shared" si="50"/>
        <v>5</v>
      </c>
      <c r="L741" s="643">
        <f>IFERROR(IF(B741="funkcna poziadavka",VLOOKUP(G741,MODULY_CBA!$B$3:$E$23,4,0)*H741/SUMIFS($H$3:$H$199,$G$3:$G$199,G741,$B$3:$B$199,B741),),)</f>
        <v>0</v>
      </c>
      <c r="M741" s="379">
        <f>IFERROR(IF(B741="Funkcna poziadavka",VLOOKUP(G741,MODULY_CBA!$B$3:$E$23,3,0),),)</f>
        <v>0.93499999999999994</v>
      </c>
      <c r="N741" s="379">
        <f>IFERROR(IF(B741="funkcna poziadavka",VLOOKUP(G741,MODULY_CBA!$B$3:$E$23,2,0),),)</f>
        <v>1.18</v>
      </c>
      <c r="O741" s="378">
        <f t="shared" si="51"/>
        <v>5.5164999999999997</v>
      </c>
      <c r="P741" s="377">
        <f>IFERROR(O741*VLOOKUP(G741,MODULY_CBA!$B$3:$F$23,5,0),)</f>
        <v>165.495</v>
      </c>
      <c r="Q741" s="478" t="str">
        <f>IFERROR(VLOOKUP(G741,MODULY_CBA!$B$3:$I$23,6,0),"")</f>
        <v>Inkrement 5</v>
      </c>
    </row>
    <row r="742" spans="1:17">
      <c r="A742" s="401">
        <v>740</v>
      </c>
      <c r="B742" s="401" t="s">
        <v>475</v>
      </c>
      <c r="C742" s="532" t="s">
        <v>1198</v>
      </c>
      <c r="D742" s="532" t="s">
        <v>1076</v>
      </c>
      <c r="E742" s="389"/>
      <c r="F742" s="389" t="s">
        <v>8</v>
      </c>
      <c r="G742" s="389" t="s">
        <v>265</v>
      </c>
      <c r="H742" s="379">
        <v>1</v>
      </c>
      <c r="I742" s="379">
        <v>5</v>
      </c>
      <c r="J742" s="379">
        <f t="shared" si="49"/>
        <v>1</v>
      </c>
      <c r="K742" s="379">
        <f t="shared" si="50"/>
        <v>5</v>
      </c>
      <c r="L742" s="643">
        <f>IFERROR(IF(B742="funkcna poziadavka",VLOOKUP(G742,MODULY_CBA!$B$3:$E$23,4,0)*H742/SUMIFS($H$3:$H$199,$G$3:$G$199,G742,$B$3:$B$199,B742),),)</f>
        <v>0</v>
      </c>
      <c r="M742" s="379">
        <f>IFERROR(IF(B742="Funkcna poziadavka",VLOOKUP(G742,MODULY_CBA!$B$3:$E$23,3,0),),)</f>
        <v>0.93499999999999994</v>
      </c>
      <c r="N742" s="379">
        <f>IFERROR(IF(B742="funkcna poziadavka",VLOOKUP(G742,MODULY_CBA!$B$3:$E$23,2,0),),)</f>
        <v>1.18</v>
      </c>
      <c r="O742" s="378">
        <f t="shared" si="51"/>
        <v>5.5164999999999997</v>
      </c>
      <c r="P742" s="377">
        <f>IFERROR(O742*VLOOKUP(G742,MODULY_CBA!$B$3:$F$23,5,0),)</f>
        <v>165.495</v>
      </c>
      <c r="Q742" s="478" t="str">
        <f>IFERROR(VLOOKUP(G742,MODULY_CBA!$B$3:$I$23,6,0),"")</f>
        <v>Inkrement 5</v>
      </c>
    </row>
    <row r="743" spans="1:17" ht="25.5">
      <c r="A743" s="401">
        <v>741</v>
      </c>
      <c r="B743" s="401" t="s">
        <v>475</v>
      </c>
      <c r="C743" s="530" t="s">
        <v>1199</v>
      </c>
      <c r="D743" s="530" t="s">
        <v>1200</v>
      </c>
      <c r="E743" s="530"/>
      <c r="F743" s="389" t="s">
        <v>8</v>
      </c>
      <c r="G743" s="389" t="s">
        <v>265</v>
      </c>
      <c r="H743" s="379">
        <v>1</v>
      </c>
      <c r="I743" s="379">
        <v>5</v>
      </c>
      <c r="J743" s="379">
        <f t="shared" si="49"/>
        <v>1</v>
      </c>
      <c r="K743" s="379">
        <f t="shared" si="50"/>
        <v>5</v>
      </c>
      <c r="L743" s="643">
        <f>IFERROR(IF(B743="funkcna poziadavka",VLOOKUP(G743,MODULY_CBA!$B$3:$E$23,4,0)*H743/SUMIFS($H$3:$H$199,$G$3:$G$199,G743,$B$3:$B$199,B743),),)</f>
        <v>0</v>
      </c>
      <c r="M743" s="379">
        <f>IFERROR(IF(B743="Funkcna poziadavka",VLOOKUP(G743,MODULY_CBA!$B$3:$E$23,3,0),),)</f>
        <v>0.93499999999999994</v>
      </c>
      <c r="N743" s="379">
        <f>IFERROR(IF(B743="funkcna poziadavka",VLOOKUP(G743,MODULY_CBA!$B$3:$E$23,2,0),),)</f>
        <v>1.18</v>
      </c>
      <c r="O743" s="378">
        <f t="shared" si="51"/>
        <v>5.5164999999999997</v>
      </c>
      <c r="P743" s="377">
        <f>IFERROR(O743*VLOOKUP(G743,MODULY_CBA!$B$3:$F$23,5,0),)</f>
        <v>165.495</v>
      </c>
      <c r="Q743" s="478" t="str">
        <f>IFERROR(VLOOKUP(G743,MODULY_CBA!$B$3:$I$23,6,0),"")</f>
        <v>Inkrement 5</v>
      </c>
    </row>
    <row r="744" spans="1:17" ht="25.5">
      <c r="A744" s="401">
        <v>742</v>
      </c>
      <c r="B744" s="401" t="s">
        <v>475</v>
      </c>
      <c r="C744" s="530" t="s">
        <v>1199</v>
      </c>
      <c r="D744" s="530" t="s">
        <v>1201</v>
      </c>
      <c r="E744" s="530"/>
      <c r="F744" s="389" t="s">
        <v>8</v>
      </c>
      <c r="G744" s="389" t="s">
        <v>265</v>
      </c>
      <c r="H744" s="379">
        <v>1</v>
      </c>
      <c r="I744" s="379">
        <v>5</v>
      </c>
      <c r="J744" s="379">
        <f t="shared" si="49"/>
        <v>1</v>
      </c>
      <c r="K744" s="379">
        <f t="shared" si="50"/>
        <v>5</v>
      </c>
      <c r="L744" s="643">
        <f>IFERROR(IF(B744="funkcna poziadavka",VLOOKUP(G744,MODULY_CBA!$B$3:$E$23,4,0)*H744/SUMIFS($H$3:$H$199,$G$3:$G$199,G744,$B$3:$B$199,B744),),)</f>
        <v>0</v>
      </c>
      <c r="M744" s="379">
        <f>IFERROR(IF(B744="Funkcna poziadavka",VLOOKUP(G744,MODULY_CBA!$B$3:$E$23,3,0),),)</f>
        <v>0.93499999999999994</v>
      </c>
      <c r="N744" s="379">
        <f>IFERROR(IF(B744="funkcna poziadavka",VLOOKUP(G744,MODULY_CBA!$B$3:$E$23,2,0),),)</f>
        <v>1.18</v>
      </c>
      <c r="O744" s="378">
        <f t="shared" si="51"/>
        <v>5.5164999999999997</v>
      </c>
      <c r="P744" s="377">
        <f>IFERROR(O744*VLOOKUP(G744,MODULY_CBA!$B$3:$F$23,5,0),)</f>
        <v>165.495</v>
      </c>
      <c r="Q744" s="478" t="str">
        <f>IFERROR(VLOOKUP(G744,MODULY_CBA!$B$3:$I$23,6,0),"")</f>
        <v>Inkrement 5</v>
      </c>
    </row>
    <row r="745" spans="1:17" ht="25.5">
      <c r="A745" s="401">
        <v>743</v>
      </c>
      <c r="B745" s="401" t="s">
        <v>475</v>
      </c>
      <c r="C745" s="530" t="s">
        <v>1202</v>
      </c>
      <c r="D745" s="530" t="s">
        <v>1203</v>
      </c>
      <c r="E745" s="530"/>
      <c r="F745" s="389" t="s">
        <v>8</v>
      </c>
      <c r="G745" s="389" t="s">
        <v>265</v>
      </c>
      <c r="H745" s="379">
        <v>1</v>
      </c>
      <c r="I745" s="379">
        <v>5</v>
      </c>
      <c r="J745" s="379">
        <f t="shared" si="49"/>
        <v>1</v>
      </c>
      <c r="K745" s="379">
        <f t="shared" si="50"/>
        <v>5</v>
      </c>
      <c r="L745" s="643">
        <f>IFERROR(IF(B745="funkcna poziadavka",VLOOKUP(G745,MODULY_CBA!$B$3:$E$23,4,0)*H745/SUMIFS($H$3:$H$199,$G$3:$G$199,G745,$B$3:$B$199,B745),),)</f>
        <v>0</v>
      </c>
      <c r="M745" s="379">
        <f>IFERROR(IF(B745="Funkcna poziadavka",VLOOKUP(G745,MODULY_CBA!$B$3:$E$23,3,0),),)</f>
        <v>0.93499999999999994</v>
      </c>
      <c r="N745" s="379">
        <f>IFERROR(IF(B745="funkcna poziadavka",VLOOKUP(G745,MODULY_CBA!$B$3:$E$23,2,0),),)</f>
        <v>1.18</v>
      </c>
      <c r="O745" s="378">
        <f t="shared" si="51"/>
        <v>5.5164999999999997</v>
      </c>
      <c r="P745" s="377">
        <f>IFERROR(O745*VLOOKUP(G745,MODULY_CBA!$B$3:$F$23,5,0),)</f>
        <v>165.495</v>
      </c>
      <c r="Q745" s="478" t="str">
        <f>IFERROR(VLOOKUP(G745,MODULY_CBA!$B$3:$I$23,6,0),"")</f>
        <v>Inkrement 5</v>
      </c>
    </row>
    <row r="746" spans="1:17" ht="25.5">
      <c r="A746" s="401">
        <v>744</v>
      </c>
      <c r="B746" s="401" t="s">
        <v>475</v>
      </c>
      <c r="C746" s="530" t="s">
        <v>1202</v>
      </c>
      <c r="D746" s="530" t="s">
        <v>1204</v>
      </c>
      <c r="E746" s="530"/>
      <c r="F746" s="389" t="s">
        <v>8</v>
      </c>
      <c r="G746" s="389" t="s">
        <v>265</v>
      </c>
      <c r="H746" s="379">
        <v>1</v>
      </c>
      <c r="I746" s="379">
        <v>5</v>
      </c>
      <c r="J746" s="379">
        <f t="shared" si="49"/>
        <v>1</v>
      </c>
      <c r="K746" s="379">
        <f t="shared" si="50"/>
        <v>5</v>
      </c>
      <c r="L746" s="643">
        <f>IFERROR(IF(B746="funkcna poziadavka",VLOOKUP(G746,MODULY_CBA!$B$3:$E$23,4,0)*H746/SUMIFS($H$3:$H$199,$G$3:$G$199,G746,$B$3:$B$199,B746),),)</f>
        <v>0</v>
      </c>
      <c r="M746" s="379">
        <f>IFERROR(IF(B746="Funkcna poziadavka",VLOOKUP(G746,MODULY_CBA!$B$3:$E$23,3,0),),)</f>
        <v>0.93499999999999994</v>
      </c>
      <c r="N746" s="379">
        <f>IFERROR(IF(B746="funkcna poziadavka",VLOOKUP(G746,MODULY_CBA!$B$3:$E$23,2,0),),)</f>
        <v>1.18</v>
      </c>
      <c r="O746" s="378">
        <f t="shared" si="51"/>
        <v>5.5164999999999997</v>
      </c>
      <c r="P746" s="377">
        <f>IFERROR(O746*VLOOKUP(G746,MODULY_CBA!$B$3:$F$23,5,0),)</f>
        <v>165.495</v>
      </c>
      <c r="Q746" s="478" t="str">
        <f>IFERROR(VLOOKUP(G746,MODULY_CBA!$B$3:$I$23,6,0),"")</f>
        <v>Inkrement 5</v>
      </c>
    </row>
    <row r="747" spans="1:17" ht="25.5">
      <c r="A747" s="401">
        <v>745</v>
      </c>
      <c r="B747" s="401" t="s">
        <v>475</v>
      </c>
      <c r="C747" s="530" t="s">
        <v>1205</v>
      </c>
      <c r="D747" s="530" t="s">
        <v>1206</v>
      </c>
      <c r="E747" s="530"/>
      <c r="F747" s="389" t="s">
        <v>8</v>
      </c>
      <c r="G747" s="389" t="s">
        <v>265</v>
      </c>
      <c r="H747" s="379">
        <v>1</v>
      </c>
      <c r="I747" s="379">
        <v>5</v>
      </c>
      <c r="J747" s="379">
        <f t="shared" si="49"/>
        <v>1</v>
      </c>
      <c r="K747" s="379">
        <f t="shared" si="50"/>
        <v>5</v>
      </c>
      <c r="L747" s="643">
        <f>IFERROR(IF(B747="funkcna poziadavka",VLOOKUP(G747,MODULY_CBA!$B$3:$E$23,4,0)*H747/SUMIFS($H$3:$H$199,$G$3:$G$199,G747,$B$3:$B$199,B747),),)</f>
        <v>0</v>
      </c>
      <c r="M747" s="379">
        <f>IFERROR(IF(B747="Funkcna poziadavka",VLOOKUP(G747,MODULY_CBA!$B$3:$E$23,3,0),),)</f>
        <v>0.93499999999999994</v>
      </c>
      <c r="N747" s="379">
        <f>IFERROR(IF(B747="funkcna poziadavka",VLOOKUP(G747,MODULY_CBA!$B$3:$E$23,2,0),),)</f>
        <v>1.18</v>
      </c>
      <c r="O747" s="378">
        <f t="shared" si="51"/>
        <v>5.5164999999999997</v>
      </c>
      <c r="P747" s="377">
        <f>IFERROR(O747*VLOOKUP(G747,MODULY_CBA!$B$3:$F$23,5,0),)</f>
        <v>165.495</v>
      </c>
      <c r="Q747" s="478" t="str">
        <f>IFERROR(VLOOKUP(G747,MODULY_CBA!$B$3:$I$23,6,0),"")</f>
        <v>Inkrement 5</v>
      </c>
    </row>
    <row r="748" spans="1:17" ht="25.5">
      <c r="A748" s="401">
        <v>746</v>
      </c>
      <c r="B748" s="401" t="s">
        <v>475</v>
      </c>
      <c r="C748" s="530" t="s">
        <v>1205</v>
      </c>
      <c r="D748" s="530" t="s">
        <v>1207</v>
      </c>
      <c r="E748" s="530"/>
      <c r="F748" s="389" t="s">
        <v>8</v>
      </c>
      <c r="G748" s="389" t="s">
        <v>265</v>
      </c>
      <c r="H748" s="379">
        <v>1</v>
      </c>
      <c r="I748" s="379">
        <v>5</v>
      </c>
      <c r="J748" s="379">
        <f t="shared" si="49"/>
        <v>1</v>
      </c>
      <c r="K748" s="379">
        <f t="shared" si="50"/>
        <v>5</v>
      </c>
      <c r="L748" s="643">
        <f>IFERROR(IF(B748="funkcna poziadavka",VLOOKUP(G748,MODULY_CBA!$B$3:$E$23,4,0)*H748/SUMIFS($H$3:$H$199,$G$3:$G$199,G748,$B$3:$B$199,B748),),)</f>
        <v>0</v>
      </c>
      <c r="M748" s="379">
        <f>IFERROR(IF(B748="Funkcna poziadavka",VLOOKUP(G748,MODULY_CBA!$B$3:$E$23,3,0),),)</f>
        <v>0.93499999999999994</v>
      </c>
      <c r="N748" s="379">
        <f>IFERROR(IF(B748="funkcna poziadavka",VLOOKUP(G748,MODULY_CBA!$B$3:$E$23,2,0),),)</f>
        <v>1.18</v>
      </c>
      <c r="O748" s="378">
        <f t="shared" si="51"/>
        <v>5.5164999999999997</v>
      </c>
      <c r="P748" s="377">
        <f>IFERROR(O748*VLOOKUP(G748,MODULY_CBA!$B$3:$F$23,5,0),)</f>
        <v>165.495</v>
      </c>
      <c r="Q748" s="478" t="str">
        <f>IFERROR(VLOOKUP(G748,MODULY_CBA!$B$3:$I$23,6,0),"")</f>
        <v>Inkrement 5</v>
      </c>
    </row>
    <row r="749" spans="1:17" ht="25.5">
      <c r="A749" s="401">
        <v>747</v>
      </c>
      <c r="B749" s="401" t="s">
        <v>475</v>
      </c>
      <c r="C749" s="530" t="s">
        <v>1205</v>
      </c>
      <c r="D749" s="530" t="s">
        <v>1208</v>
      </c>
      <c r="E749" s="530"/>
      <c r="F749" s="389" t="s">
        <v>8</v>
      </c>
      <c r="G749" s="389" t="s">
        <v>265</v>
      </c>
      <c r="H749" s="379">
        <v>1</v>
      </c>
      <c r="I749" s="379">
        <v>5</v>
      </c>
      <c r="J749" s="379">
        <f t="shared" si="49"/>
        <v>1</v>
      </c>
      <c r="K749" s="379">
        <f t="shared" si="50"/>
        <v>5</v>
      </c>
      <c r="L749" s="643">
        <f>IFERROR(IF(B749="funkcna poziadavka",VLOOKUP(G749,MODULY_CBA!$B$3:$E$23,4,0)*H749/SUMIFS($H$3:$H$199,$G$3:$G$199,G749,$B$3:$B$199,B749),),)</f>
        <v>0</v>
      </c>
      <c r="M749" s="379">
        <f>IFERROR(IF(B749="Funkcna poziadavka",VLOOKUP(G749,MODULY_CBA!$B$3:$E$23,3,0),),)</f>
        <v>0.93499999999999994</v>
      </c>
      <c r="N749" s="379">
        <f>IFERROR(IF(B749="funkcna poziadavka",VLOOKUP(G749,MODULY_CBA!$B$3:$E$23,2,0),),)</f>
        <v>1.18</v>
      </c>
      <c r="O749" s="378">
        <f t="shared" si="51"/>
        <v>5.5164999999999997</v>
      </c>
      <c r="P749" s="377">
        <f>IFERROR(O749*VLOOKUP(G749,MODULY_CBA!$B$3:$F$23,5,0),)</f>
        <v>165.495</v>
      </c>
      <c r="Q749" s="478" t="str">
        <f>IFERROR(VLOOKUP(G749,MODULY_CBA!$B$3:$I$23,6,0),"")</f>
        <v>Inkrement 5</v>
      </c>
    </row>
    <row r="750" spans="1:17" ht="25.5">
      <c r="A750" s="401">
        <v>748</v>
      </c>
      <c r="B750" s="401" t="s">
        <v>475</v>
      </c>
      <c r="C750" s="530" t="s">
        <v>1209</v>
      </c>
      <c r="D750" s="530" t="s">
        <v>1210</v>
      </c>
      <c r="E750" s="530"/>
      <c r="F750" s="389" t="s">
        <v>8</v>
      </c>
      <c r="G750" s="389" t="s">
        <v>265</v>
      </c>
      <c r="H750" s="379">
        <v>1</v>
      </c>
      <c r="I750" s="379">
        <v>5</v>
      </c>
      <c r="J750" s="379">
        <f t="shared" si="49"/>
        <v>1</v>
      </c>
      <c r="K750" s="379">
        <f t="shared" si="50"/>
        <v>5</v>
      </c>
      <c r="L750" s="643">
        <f>IFERROR(IF(B750="funkcna poziadavka",VLOOKUP(G750,MODULY_CBA!$B$3:$E$23,4,0)*H750/SUMIFS($H$3:$H$199,$G$3:$G$199,G750,$B$3:$B$199,B750),),)</f>
        <v>0</v>
      </c>
      <c r="M750" s="379">
        <f>IFERROR(IF(B750="Funkcna poziadavka",VLOOKUP(G750,MODULY_CBA!$B$3:$E$23,3,0),),)</f>
        <v>0.93499999999999994</v>
      </c>
      <c r="N750" s="379">
        <f>IFERROR(IF(B750="funkcna poziadavka",VLOOKUP(G750,MODULY_CBA!$B$3:$E$23,2,0),),)</f>
        <v>1.18</v>
      </c>
      <c r="O750" s="378">
        <f t="shared" si="51"/>
        <v>5.5164999999999997</v>
      </c>
      <c r="P750" s="377">
        <f>IFERROR(O750*VLOOKUP(G750,MODULY_CBA!$B$3:$F$23,5,0),)</f>
        <v>165.495</v>
      </c>
      <c r="Q750" s="478" t="str">
        <f>IFERROR(VLOOKUP(G750,MODULY_CBA!$B$3:$I$23,6,0),"")</f>
        <v>Inkrement 5</v>
      </c>
    </row>
    <row r="751" spans="1:17" ht="25.5">
      <c r="A751" s="401">
        <v>749</v>
      </c>
      <c r="B751" s="401" t="s">
        <v>475</v>
      </c>
      <c r="C751" s="530" t="s">
        <v>1209</v>
      </c>
      <c r="D751" s="530" t="s">
        <v>1068</v>
      </c>
      <c r="E751" s="389"/>
      <c r="F751" s="389" t="s">
        <v>8</v>
      </c>
      <c r="G751" s="389" t="s">
        <v>265</v>
      </c>
      <c r="H751" s="379">
        <v>1</v>
      </c>
      <c r="I751" s="379">
        <v>5</v>
      </c>
      <c r="J751" s="379">
        <f t="shared" si="49"/>
        <v>1</v>
      </c>
      <c r="K751" s="379">
        <f t="shared" si="50"/>
        <v>5</v>
      </c>
      <c r="L751" s="643">
        <f>IFERROR(IF(B751="funkcna poziadavka",VLOOKUP(G751,MODULY_CBA!$B$3:$E$23,4,0)*H751/SUMIFS($H$3:$H$199,$G$3:$G$199,G751,$B$3:$B$199,B751),),)</f>
        <v>0</v>
      </c>
      <c r="M751" s="379">
        <f>IFERROR(IF(B751="Funkcna poziadavka",VLOOKUP(G751,MODULY_CBA!$B$3:$E$23,3,0),),)</f>
        <v>0.93499999999999994</v>
      </c>
      <c r="N751" s="379">
        <f>IFERROR(IF(B751="funkcna poziadavka",VLOOKUP(G751,MODULY_CBA!$B$3:$E$23,2,0),),)</f>
        <v>1.18</v>
      </c>
      <c r="O751" s="378">
        <f t="shared" si="51"/>
        <v>5.5164999999999997</v>
      </c>
      <c r="P751" s="377">
        <f>IFERROR(O751*VLOOKUP(G751,MODULY_CBA!$B$3:$F$23,5,0),)</f>
        <v>165.495</v>
      </c>
      <c r="Q751" s="478" t="str">
        <f>IFERROR(VLOOKUP(G751,MODULY_CBA!$B$3:$I$23,6,0),"")</f>
        <v>Inkrement 5</v>
      </c>
    </row>
    <row r="752" spans="1:17" ht="25.5">
      <c r="A752" s="401">
        <v>750</v>
      </c>
      <c r="B752" s="401" t="s">
        <v>475</v>
      </c>
      <c r="C752" s="530" t="s">
        <v>1209</v>
      </c>
      <c r="D752" s="530" t="s">
        <v>1069</v>
      </c>
      <c r="E752" s="389"/>
      <c r="F752" s="389" t="s">
        <v>8</v>
      </c>
      <c r="G752" s="389" t="s">
        <v>265</v>
      </c>
      <c r="H752" s="379">
        <v>1</v>
      </c>
      <c r="I752" s="379">
        <v>5</v>
      </c>
      <c r="J752" s="379">
        <f t="shared" si="49"/>
        <v>1</v>
      </c>
      <c r="K752" s="379">
        <f t="shared" si="50"/>
        <v>5</v>
      </c>
      <c r="L752" s="643">
        <f>IFERROR(IF(B752="funkcna poziadavka",VLOOKUP(G752,MODULY_CBA!$B$3:$E$23,4,0)*H752/SUMIFS($H$3:$H$199,$G$3:$G$199,G752,$B$3:$B$199,B752),),)</f>
        <v>0</v>
      </c>
      <c r="M752" s="379">
        <f>IFERROR(IF(B752="Funkcna poziadavka",VLOOKUP(G752,MODULY_CBA!$B$3:$E$23,3,0),),)</f>
        <v>0.93499999999999994</v>
      </c>
      <c r="N752" s="379">
        <f>IFERROR(IF(B752="funkcna poziadavka",VLOOKUP(G752,MODULY_CBA!$B$3:$E$23,2,0),),)</f>
        <v>1.18</v>
      </c>
      <c r="O752" s="378">
        <f t="shared" si="51"/>
        <v>5.5164999999999997</v>
      </c>
      <c r="P752" s="377">
        <f>IFERROR(O752*VLOOKUP(G752,MODULY_CBA!$B$3:$F$23,5,0),)</f>
        <v>165.495</v>
      </c>
      <c r="Q752" s="478" t="str">
        <f>IFERROR(VLOOKUP(G752,MODULY_CBA!$B$3:$I$23,6,0),"")</f>
        <v>Inkrement 5</v>
      </c>
    </row>
    <row r="753" spans="1:17" ht="25.5">
      <c r="A753" s="401">
        <v>751</v>
      </c>
      <c r="B753" s="401" t="s">
        <v>475</v>
      </c>
      <c r="C753" s="530" t="s">
        <v>1209</v>
      </c>
      <c r="D753" s="530" t="s">
        <v>1070</v>
      </c>
      <c r="E753" s="389"/>
      <c r="F753" s="389" t="s">
        <v>8</v>
      </c>
      <c r="G753" s="389" t="s">
        <v>265</v>
      </c>
      <c r="H753" s="379">
        <v>1</v>
      </c>
      <c r="I753" s="379">
        <v>5</v>
      </c>
      <c r="J753" s="379">
        <f t="shared" si="49"/>
        <v>1</v>
      </c>
      <c r="K753" s="379">
        <f t="shared" si="50"/>
        <v>5</v>
      </c>
      <c r="L753" s="643">
        <f>IFERROR(IF(B753="funkcna poziadavka",VLOOKUP(G753,MODULY_CBA!$B$3:$E$23,4,0)*H753/SUMIFS($H$3:$H$199,$G$3:$G$199,G753,$B$3:$B$199,B753),),)</f>
        <v>0</v>
      </c>
      <c r="M753" s="379">
        <f>IFERROR(IF(B753="Funkcna poziadavka",VLOOKUP(G753,MODULY_CBA!$B$3:$E$23,3,0),),)</f>
        <v>0.93499999999999994</v>
      </c>
      <c r="N753" s="379">
        <f>IFERROR(IF(B753="funkcna poziadavka",VLOOKUP(G753,MODULY_CBA!$B$3:$E$23,2,0),),)</f>
        <v>1.18</v>
      </c>
      <c r="O753" s="378">
        <f t="shared" si="51"/>
        <v>5.5164999999999997</v>
      </c>
      <c r="P753" s="377">
        <f>IFERROR(O753*VLOOKUP(G753,MODULY_CBA!$B$3:$F$23,5,0),)</f>
        <v>165.495</v>
      </c>
      <c r="Q753" s="478" t="str">
        <f>IFERROR(VLOOKUP(G753,MODULY_CBA!$B$3:$I$23,6,0),"")</f>
        <v>Inkrement 5</v>
      </c>
    </row>
    <row r="754" spans="1:17" ht="25.5">
      <c r="A754" s="401">
        <v>752</v>
      </c>
      <c r="B754" s="401" t="s">
        <v>475</v>
      </c>
      <c r="C754" s="530" t="s">
        <v>1209</v>
      </c>
      <c r="D754" s="530" t="s">
        <v>1211</v>
      </c>
      <c r="E754" s="530"/>
      <c r="F754" s="389" t="s">
        <v>8</v>
      </c>
      <c r="G754" s="389" t="s">
        <v>265</v>
      </c>
      <c r="H754" s="379">
        <v>1</v>
      </c>
      <c r="I754" s="379">
        <v>5</v>
      </c>
      <c r="J754" s="379">
        <f t="shared" si="49"/>
        <v>1</v>
      </c>
      <c r="K754" s="379">
        <f t="shared" si="50"/>
        <v>5</v>
      </c>
      <c r="L754" s="643">
        <f>IFERROR(IF(B754="funkcna poziadavka",VLOOKUP(G754,MODULY_CBA!$B$3:$E$23,4,0)*H754/SUMIFS($H$3:$H$199,$G$3:$G$199,G754,$B$3:$B$199,B754),),)</f>
        <v>0</v>
      </c>
      <c r="M754" s="379">
        <f>IFERROR(IF(B754="Funkcna poziadavka",VLOOKUP(G754,MODULY_CBA!$B$3:$E$23,3,0),),)</f>
        <v>0.93499999999999994</v>
      </c>
      <c r="N754" s="379">
        <f>IFERROR(IF(B754="funkcna poziadavka",VLOOKUP(G754,MODULY_CBA!$B$3:$E$23,2,0),),)</f>
        <v>1.18</v>
      </c>
      <c r="O754" s="378">
        <f t="shared" si="51"/>
        <v>5.5164999999999997</v>
      </c>
      <c r="P754" s="377">
        <f>IFERROR(O754*VLOOKUP(G754,MODULY_CBA!$B$3:$F$23,5,0),)</f>
        <v>165.495</v>
      </c>
      <c r="Q754" s="478" t="str">
        <f>IFERROR(VLOOKUP(G754,MODULY_CBA!$B$3:$I$23,6,0),"")</f>
        <v>Inkrement 5</v>
      </c>
    </row>
    <row r="755" spans="1:17" ht="25.5">
      <c r="A755" s="401">
        <v>753</v>
      </c>
      <c r="B755" s="401" t="s">
        <v>475</v>
      </c>
      <c r="C755" s="530" t="s">
        <v>1212</v>
      </c>
      <c r="D755" s="530" t="s">
        <v>1197</v>
      </c>
      <c r="E755" s="530"/>
      <c r="F755" s="389" t="s">
        <v>8</v>
      </c>
      <c r="G755" s="389" t="s">
        <v>265</v>
      </c>
      <c r="H755" s="379">
        <v>1</v>
      </c>
      <c r="I755" s="379">
        <v>5</v>
      </c>
      <c r="J755" s="379">
        <f t="shared" si="49"/>
        <v>1</v>
      </c>
      <c r="K755" s="379">
        <f t="shared" si="50"/>
        <v>5</v>
      </c>
      <c r="L755" s="643">
        <f>IFERROR(IF(B755="funkcna poziadavka",VLOOKUP(G755,MODULY_CBA!$B$3:$E$23,4,0)*H755/SUMIFS($H$3:$H$199,$G$3:$G$199,G755,$B$3:$B$199,B755),),)</f>
        <v>0</v>
      </c>
      <c r="M755" s="379">
        <f>IFERROR(IF(B755="Funkcna poziadavka",VLOOKUP(G755,MODULY_CBA!$B$3:$E$23,3,0),),)</f>
        <v>0.93499999999999994</v>
      </c>
      <c r="N755" s="379">
        <f>IFERROR(IF(B755="funkcna poziadavka",VLOOKUP(G755,MODULY_CBA!$B$3:$E$23,2,0),),)</f>
        <v>1.18</v>
      </c>
      <c r="O755" s="378">
        <f t="shared" si="51"/>
        <v>5.5164999999999997</v>
      </c>
      <c r="P755" s="377">
        <f>IFERROR(O755*VLOOKUP(G755,MODULY_CBA!$B$3:$F$23,5,0),)</f>
        <v>165.495</v>
      </c>
      <c r="Q755" s="478" t="str">
        <f>IFERROR(VLOOKUP(G755,MODULY_CBA!$B$3:$I$23,6,0),"")</f>
        <v>Inkrement 5</v>
      </c>
    </row>
    <row r="756" spans="1:17" ht="25.5">
      <c r="A756" s="401">
        <v>754</v>
      </c>
      <c r="B756" s="401" t="s">
        <v>475</v>
      </c>
      <c r="C756" s="530" t="s">
        <v>1212</v>
      </c>
      <c r="D756" s="530" t="s">
        <v>1213</v>
      </c>
      <c r="E756" s="530"/>
      <c r="F756" s="389" t="s">
        <v>8</v>
      </c>
      <c r="G756" s="389" t="s">
        <v>265</v>
      </c>
      <c r="H756" s="379">
        <v>1</v>
      </c>
      <c r="I756" s="379">
        <v>5</v>
      </c>
      <c r="J756" s="379">
        <f t="shared" si="49"/>
        <v>1</v>
      </c>
      <c r="K756" s="379">
        <f t="shared" si="50"/>
        <v>5</v>
      </c>
      <c r="L756" s="643">
        <f>IFERROR(IF(B756="funkcna poziadavka",VLOOKUP(G756,MODULY_CBA!$B$3:$E$23,4,0)*H756/SUMIFS($H$3:$H$199,$G$3:$G$199,G756,$B$3:$B$199,B756),),)</f>
        <v>0</v>
      </c>
      <c r="M756" s="379">
        <f>IFERROR(IF(B756="Funkcna poziadavka",VLOOKUP(G756,MODULY_CBA!$B$3:$E$23,3,0),),)</f>
        <v>0.93499999999999994</v>
      </c>
      <c r="N756" s="379">
        <f>IFERROR(IF(B756="funkcna poziadavka",VLOOKUP(G756,MODULY_CBA!$B$3:$E$23,2,0),),)</f>
        <v>1.18</v>
      </c>
      <c r="O756" s="378">
        <f t="shared" si="51"/>
        <v>5.5164999999999997</v>
      </c>
      <c r="P756" s="377">
        <f>IFERROR(O756*VLOOKUP(G756,MODULY_CBA!$B$3:$F$23,5,0),)</f>
        <v>165.495</v>
      </c>
      <c r="Q756" s="478" t="str">
        <f>IFERROR(VLOOKUP(G756,MODULY_CBA!$B$3:$I$23,6,0),"")</f>
        <v>Inkrement 5</v>
      </c>
    </row>
    <row r="757" spans="1:17" ht="25.5">
      <c r="A757" s="401">
        <v>755</v>
      </c>
      <c r="B757" s="401" t="s">
        <v>475</v>
      </c>
      <c r="C757" s="532" t="s">
        <v>1214</v>
      </c>
      <c r="D757" s="532" t="s">
        <v>1075</v>
      </c>
      <c r="E757" s="389"/>
      <c r="F757" s="389" t="s">
        <v>8</v>
      </c>
      <c r="G757" s="389" t="s">
        <v>265</v>
      </c>
      <c r="H757" s="379">
        <v>1</v>
      </c>
      <c r="I757" s="379">
        <v>5</v>
      </c>
      <c r="J757" s="379">
        <f t="shared" si="49"/>
        <v>1</v>
      </c>
      <c r="K757" s="379">
        <f t="shared" si="50"/>
        <v>5</v>
      </c>
      <c r="L757" s="643">
        <f>IFERROR(IF(B757="funkcna poziadavka",VLOOKUP(G757,MODULY_CBA!$B$3:$E$23,4,0)*H757/SUMIFS($H$3:$H$199,$G$3:$G$199,G757,$B$3:$B$199,B757),),)</f>
        <v>0</v>
      </c>
      <c r="M757" s="379">
        <f>IFERROR(IF(B757="Funkcna poziadavka",VLOOKUP(G757,MODULY_CBA!$B$3:$E$23,3,0),),)</f>
        <v>0.93499999999999994</v>
      </c>
      <c r="N757" s="379">
        <f>IFERROR(IF(B757="funkcna poziadavka",VLOOKUP(G757,MODULY_CBA!$B$3:$E$23,2,0),),)</f>
        <v>1.18</v>
      </c>
      <c r="O757" s="378">
        <f t="shared" si="51"/>
        <v>5.5164999999999997</v>
      </c>
      <c r="P757" s="377">
        <f>IFERROR(O757*VLOOKUP(G757,MODULY_CBA!$B$3:$F$23,5,0),)</f>
        <v>165.495</v>
      </c>
      <c r="Q757" s="478" t="str">
        <f>IFERROR(VLOOKUP(G757,MODULY_CBA!$B$3:$I$23,6,0),"")</f>
        <v>Inkrement 5</v>
      </c>
    </row>
    <row r="758" spans="1:17" ht="25.5">
      <c r="A758" s="401">
        <v>756</v>
      </c>
      <c r="B758" s="401" t="s">
        <v>475</v>
      </c>
      <c r="C758" s="532" t="s">
        <v>1214</v>
      </c>
      <c r="D758" s="532" t="s">
        <v>1076</v>
      </c>
      <c r="E758" s="389"/>
      <c r="F758" s="389" t="s">
        <v>8</v>
      </c>
      <c r="G758" s="389" t="s">
        <v>265</v>
      </c>
      <c r="H758" s="379">
        <v>1</v>
      </c>
      <c r="I758" s="379">
        <v>5</v>
      </c>
      <c r="J758" s="379">
        <f t="shared" si="49"/>
        <v>1</v>
      </c>
      <c r="K758" s="379">
        <f t="shared" si="50"/>
        <v>5</v>
      </c>
      <c r="L758" s="643">
        <f>IFERROR(IF(B758="funkcna poziadavka",VLOOKUP(G758,MODULY_CBA!$B$3:$E$23,4,0)*H758/SUMIFS($H$3:$H$199,$G$3:$G$199,G758,$B$3:$B$199,B758),),)</f>
        <v>0</v>
      </c>
      <c r="M758" s="379">
        <f>IFERROR(IF(B758="Funkcna poziadavka",VLOOKUP(G758,MODULY_CBA!$B$3:$E$23,3,0),),)</f>
        <v>0.93499999999999994</v>
      </c>
      <c r="N758" s="379">
        <f>IFERROR(IF(B758="funkcna poziadavka",VLOOKUP(G758,MODULY_CBA!$B$3:$E$23,2,0),),)</f>
        <v>1.18</v>
      </c>
      <c r="O758" s="378">
        <f t="shared" si="51"/>
        <v>5.5164999999999997</v>
      </c>
      <c r="P758" s="377">
        <f>IFERROR(O758*VLOOKUP(G758,MODULY_CBA!$B$3:$F$23,5,0),)</f>
        <v>165.495</v>
      </c>
      <c r="Q758" s="478" t="str">
        <f>IFERROR(VLOOKUP(G758,MODULY_CBA!$B$3:$I$23,6,0),"")</f>
        <v>Inkrement 5</v>
      </c>
    </row>
    <row r="759" spans="1:17" ht="25.5">
      <c r="A759" s="401">
        <v>757</v>
      </c>
      <c r="B759" s="401" t="s">
        <v>475</v>
      </c>
      <c r="C759" s="530" t="s">
        <v>1215</v>
      </c>
      <c r="D759" s="530" t="s">
        <v>1216</v>
      </c>
      <c r="E759" s="530"/>
      <c r="F759" s="389" t="s">
        <v>8</v>
      </c>
      <c r="G759" s="389" t="s">
        <v>265</v>
      </c>
      <c r="H759" s="379">
        <v>1</v>
      </c>
      <c r="I759" s="379">
        <v>5</v>
      </c>
      <c r="J759" s="379">
        <f t="shared" si="49"/>
        <v>1</v>
      </c>
      <c r="K759" s="379">
        <f t="shared" si="50"/>
        <v>5</v>
      </c>
      <c r="L759" s="643">
        <f>IFERROR(IF(B759="funkcna poziadavka",VLOOKUP(G759,MODULY_CBA!$B$3:$E$23,4,0)*H759/SUMIFS($H$3:$H$199,$G$3:$G$199,G759,$B$3:$B$199,B759),),)</f>
        <v>0</v>
      </c>
      <c r="M759" s="379">
        <f>IFERROR(IF(B759="Funkcna poziadavka",VLOOKUP(G759,MODULY_CBA!$B$3:$E$23,3,0),),)</f>
        <v>0.93499999999999994</v>
      </c>
      <c r="N759" s="379">
        <f>IFERROR(IF(B759="funkcna poziadavka",VLOOKUP(G759,MODULY_CBA!$B$3:$E$23,2,0),),)</f>
        <v>1.18</v>
      </c>
      <c r="O759" s="378">
        <f t="shared" si="51"/>
        <v>5.5164999999999997</v>
      </c>
      <c r="P759" s="377">
        <f>IFERROR(O759*VLOOKUP(G759,MODULY_CBA!$B$3:$F$23,5,0),)</f>
        <v>165.495</v>
      </c>
      <c r="Q759" s="478" t="str">
        <f>IFERROR(VLOOKUP(G759,MODULY_CBA!$B$3:$I$23,6,0),"")</f>
        <v>Inkrement 5</v>
      </c>
    </row>
    <row r="760" spans="1:17" ht="25.5">
      <c r="A760" s="401">
        <v>758</v>
      </c>
      <c r="B760" s="401" t="s">
        <v>475</v>
      </c>
      <c r="C760" s="530" t="s">
        <v>1215</v>
      </c>
      <c r="D760" s="530" t="s">
        <v>1217</v>
      </c>
      <c r="E760" s="530"/>
      <c r="F760" s="389" t="s">
        <v>8</v>
      </c>
      <c r="G760" s="389" t="s">
        <v>265</v>
      </c>
      <c r="H760" s="379">
        <v>1</v>
      </c>
      <c r="I760" s="379">
        <v>5</v>
      </c>
      <c r="J760" s="379">
        <f t="shared" si="49"/>
        <v>1</v>
      </c>
      <c r="K760" s="379">
        <f t="shared" si="50"/>
        <v>5</v>
      </c>
      <c r="L760" s="643">
        <f>IFERROR(IF(B760="funkcna poziadavka",VLOOKUP(G760,MODULY_CBA!$B$3:$E$23,4,0)*H760/SUMIFS($H$3:$H$199,$G$3:$G$199,G760,$B$3:$B$199,B760),),)</f>
        <v>0</v>
      </c>
      <c r="M760" s="379">
        <f>IFERROR(IF(B760="Funkcna poziadavka",VLOOKUP(G760,MODULY_CBA!$B$3:$E$23,3,0),),)</f>
        <v>0.93499999999999994</v>
      </c>
      <c r="N760" s="379">
        <f>IFERROR(IF(B760="funkcna poziadavka",VLOOKUP(G760,MODULY_CBA!$B$3:$E$23,2,0),),)</f>
        <v>1.18</v>
      </c>
      <c r="O760" s="378">
        <f t="shared" si="51"/>
        <v>5.5164999999999997</v>
      </c>
      <c r="P760" s="377">
        <f>IFERROR(O760*VLOOKUP(G760,MODULY_CBA!$B$3:$F$23,5,0),)</f>
        <v>165.495</v>
      </c>
      <c r="Q760" s="478" t="str">
        <f>IFERROR(VLOOKUP(G760,MODULY_CBA!$B$3:$I$23,6,0),"")</f>
        <v>Inkrement 5</v>
      </c>
    </row>
    <row r="761" spans="1:17" ht="25.5">
      <c r="A761" s="401">
        <v>759</v>
      </c>
      <c r="B761" s="401" t="s">
        <v>475</v>
      </c>
      <c r="C761" s="530" t="s">
        <v>1215</v>
      </c>
      <c r="D761" s="530" t="s">
        <v>1218</v>
      </c>
      <c r="E761" s="530"/>
      <c r="F761" s="389" t="s">
        <v>8</v>
      </c>
      <c r="G761" s="389" t="s">
        <v>265</v>
      </c>
      <c r="H761" s="379">
        <v>1</v>
      </c>
      <c r="I761" s="379">
        <v>5</v>
      </c>
      <c r="J761" s="379">
        <f t="shared" si="49"/>
        <v>1</v>
      </c>
      <c r="K761" s="379">
        <f t="shared" si="50"/>
        <v>5</v>
      </c>
      <c r="L761" s="643">
        <f>IFERROR(IF(B761="funkcna poziadavka",VLOOKUP(G761,MODULY_CBA!$B$3:$E$23,4,0)*H761/SUMIFS($H$3:$H$199,$G$3:$G$199,G761,$B$3:$B$199,B761),),)</f>
        <v>0</v>
      </c>
      <c r="M761" s="379">
        <f>IFERROR(IF(B761="Funkcna poziadavka",VLOOKUP(G761,MODULY_CBA!$B$3:$E$23,3,0),),)</f>
        <v>0.93499999999999994</v>
      </c>
      <c r="N761" s="379">
        <f>IFERROR(IF(B761="funkcna poziadavka",VLOOKUP(G761,MODULY_CBA!$B$3:$E$23,2,0),),)</f>
        <v>1.18</v>
      </c>
      <c r="O761" s="378">
        <f t="shared" si="51"/>
        <v>5.5164999999999997</v>
      </c>
      <c r="P761" s="377">
        <f>IFERROR(O761*VLOOKUP(G761,MODULY_CBA!$B$3:$F$23,5,0),)</f>
        <v>165.495</v>
      </c>
      <c r="Q761" s="478" t="str">
        <f>IFERROR(VLOOKUP(G761,MODULY_CBA!$B$3:$I$23,6,0),"")</f>
        <v>Inkrement 5</v>
      </c>
    </row>
    <row r="762" spans="1:17" ht="25.5">
      <c r="A762" s="401">
        <v>760</v>
      </c>
      <c r="B762" s="401" t="s">
        <v>475</v>
      </c>
      <c r="C762" s="530" t="s">
        <v>1219</v>
      </c>
      <c r="D762" s="530" t="s">
        <v>1220</v>
      </c>
      <c r="E762" s="530"/>
      <c r="F762" s="389" t="s">
        <v>8</v>
      </c>
      <c r="G762" s="389" t="s">
        <v>265</v>
      </c>
      <c r="H762" s="379">
        <v>1</v>
      </c>
      <c r="I762" s="379">
        <v>5</v>
      </c>
      <c r="J762" s="379">
        <f t="shared" si="49"/>
        <v>1</v>
      </c>
      <c r="K762" s="379">
        <f t="shared" si="50"/>
        <v>5</v>
      </c>
      <c r="L762" s="643">
        <f>IFERROR(IF(B762="funkcna poziadavka",VLOOKUP(G762,MODULY_CBA!$B$3:$E$23,4,0)*H762/SUMIFS($H$3:$H$199,$G$3:$G$199,G762,$B$3:$B$199,B762),),)</f>
        <v>0</v>
      </c>
      <c r="M762" s="379">
        <f>IFERROR(IF(B762="Funkcna poziadavka",VLOOKUP(G762,MODULY_CBA!$B$3:$E$23,3,0),),)</f>
        <v>0.93499999999999994</v>
      </c>
      <c r="N762" s="379">
        <f>IFERROR(IF(B762="funkcna poziadavka",VLOOKUP(G762,MODULY_CBA!$B$3:$E$23,2,0),),)</f>
        <v>1.18</v>
      </c>
      <c r="O762" s="378">
        <f t="shared" si="51"/>
        <v>5.5164999999999997</v>
      </c>
      <c r="P762" s="377">
        <f>IFERROR(O762*VLOOKUP(G762,MODULY_CBA!$B$3:$F$23,5,0),)</f>
        <v>165.495</v>
      </c>
      <c r="Q762" s="478" t="str">
        <f>IFERROR(VLOOKUP(G762,MODULY_CBA!$B$3:$I$23,6,0),"")</f>
        <v>Inkrement 5</v>
      </c>
    </row>
    <row r="763" spans="1:17" ht="25.5">
      <c r="A763" s="401">
        <v>761</v>
      </c>
      <c r="B763" s="401" t="s">
        <v>475</v>
      </c>
      <c r="C763" s="530" t="s">
        <v>1219</v>
      </c>
      <c r="D763" s="530" t="s">
        <v>1221</v>
      </c>
      <c r="E763" s="530"/>
      <c r="F763" s="389" t="s">
        <v>8</v>
      </c>
      <c r="G763" s="389" t="s">
        <v>265</v>
      </c>
      <c r="H763" s="379">
        <v>1</v>
      </c>
      <c r="I763" s="379">
        <v>5</v>
      </c>
      <c r="J763" s="379">
        <f t="shared" si="49"/>
        <v>1</v>
      </c>
      <c r="K763" s="379">
        <f t="shared" si="50"/>
        <v>5</v>
      </c>
      <c r="L763" s="643">
        <f>IFERROR(IF(B763="funkcna poziadavka",VLOOKUP(G763,MODULY_CBA!$B$3:$E$23,4,0)*H763/SUMIFS($H$3:$H$199,$G$3:$G$199,G763,$B$3:$B$199,B763),),)</f>
        <v>0</v>
      </c>
      <c r="M763" s="379">
        <f>IFERROR(IF(B763="Funkcna poziadavka",VLOOKUP(G763,MODULY_CBA!$B$3:$E$23,3,0),),)</f>
        <v>0.93499999999999994</v>
      </c>
      <c r="N763" s="379">
        <f>IFERROR(IF(B763="funkcna poziadavka",VLOOKUP(G763,MODULY_CBA!$B$3:$E$23,2,0),),)</f>
        <v>1.18</v>
      </c>
      <c r="O763" s="378">
        <f t="shared" si="51"/>
        <v>5.5164999999999997</v>
      </c>
      <c r="P763" s="377">
        <f>IFERROR(O763*VLOOKUP(G763,MODULY_CBA!$B$3:$F$23,5,0),)</f>
        <v>165.495</v>
      </c>
      <c r="Q763" s="478" t="str">
        <f>IFERROR(VLOOKUP(G763,MODULY_CBA!$B$3:$I$23,6,0),"")</f>
        <v>Inkrement 5</v>
      </c>
    </row>
    <row r="764" spans="1:17" ht="25.5">
      <c r="A764" s="401">
        <v>762</v>
      </c>
      <c r="B764" s="401" t="s">
        <v>475</v>
      </c>
      <c r="C764" s="530" t="s">
        <v>1219</v>
      </c>
      <c r="D764" s="530" t="s">
        <v>1222</v>
      </c>
      <c r="E764" s="530"/>
      <c r="F764" s="389" t="s">
        <v>8</v>
      </c>
      <c r="G764" s="389" t="s">
        <v>265</v>
      </c>
      <c r="H764" s="379">
        <v>1</v>
      </c>
      <c r="I764" s="379">
        <v>5</v>
      </c>
      <c r="J764" s="379">
        <f t="shared" si="49"/>
        <v>1</v>
      </c>
      <c r="K764" s="379">
        <f t="shared" si="50"/>
        <v>5</v>
      </c>
      <c r="L764" s="643">
        <f>IFERROR(IF(B764="funkcna poziadavka",VLOOKUP(G764,MODULY_CBA!$B$3:$E$23,4,0)*H764/SUMIFS($H$3:$H$199,$G$3:$G$199,G764,$B$3:$B$199,B764),),)</f>
        <v>0</v>
      </c>
      <c r="M764" s="379">
        <f>IFERROR(IF(B764="Funkcna poziadavka",VLOOKUP(G764,MODULY_CBA!$B$3:$E$23,3,0),),)</f>
        <v>0.93499999999999994</v>
      </c>
      <c r="N764" s="379">
        <f>IFERROR(IF(B764="funkcna poziadavka",VLOOKUP(G764,MODULY_CBA!$B$3:$E$23,2,0),),)</f>
        <v>1.18</v>
      </c>
      <c r="O764" s="378">
        <f t="shared" si="51"/>
        <v>5.5164999999999997</v>
      </c>
      <c r="P764" s="377">
        <f>IFERROR(O764*VLOOKUP(G764,MODULY_CBA!$B$3:$F$23,5,0),)</f>
        <v>165.495</v>
      </c>
      <c r="Q764" s="478" t="str">
        <f>IFERROR(VLOOKUP(G764,MODULY_CBA!$B$3:$I$23,6,0),"")</f>
        <v>Inkrement 5</v>
      </c>
    </row>
    <row r="765" spans="1:17" ht="38.25">
      <c r="A765" s="401">
        <v>763</v>
      </c>
      <c r="B765" s="401" t="s">
        <v>475</v>
      </c>
      <c r="C765" s="530" t="s">
        <v>1223</v>
      </c>
      <c r="D765" s="530" t="s">
        <v>1224</v>
      </c>
      <c r="E765" s="530"/>
      <c r="F765" s="389" t="s">
        <v>8</v>
      </c>
      <c r="G765" s="389" t="s">
        <v>265</v>
      </c>
      <c r="H765" s="379">
        <v>1</v>
      </c>
      <c r="I765" s="379">
        <v>5</v>
      </c>
      <c r="J765" s="379">
        <f t="shared" si="49"/>
        <v>1</v>
      </c>
      <c r="K765" s="379">
        <f t="shared" si="50"/>
        <v>5</v>
      </c>
      <c r="L765" s="643">
        <f>IFERROR(IF(B765="funkcna poziadavka",VLOOKUP(G765,MODULY_CBA!$B$3:$E$23,4,0)*H765/SUMIFS($H$3:$H$199,$G$3:$G$199,G765,$B$3:$B$199,B765),),)</f>
        <v>0</v>
      </c>
      <c r="M765" s="379">
        <f>IFERROR(IF(B765="Funkcna poziadavka",VLOOKUP(G765,MODULY_CBA!$B$3:$E$23,3,0),),)</f>
        <v>0.93499999999999994</v>
      </c>
      <c r="N765" s="379">
        <f>IFERROR(IF(B765="funkcna poziadavka",VLOOKUP(G765,MODULY_CBA!$B$3:$E$23,2,0),),)</f>
        <v>1.18</v>
      </c>
      <c r="O765" s="378">
        <f t="shared" si="51"/>
        <v>5.5164999999999997</v>
      </c>
      <c r="P765" s="377">
        <f>IFERROR(O765*VLOOKUP(G765,MODULY_CBA!$B$3:$F$23,5,0),)</f>
        <v>165.495</v>
      </c>
      <c r="Q765" s="478" t="str">
        <f>IFERROR(VLOOKUP(G765,MODULY_CBA!$B$3:$I$23,6,0),"")</f>
        <v>Inkrement 5</v>
      </c>
    </row>
    <row r="766" spans="1:17" ht="38.25">
      <c r="A766" s="401">
        <v>764</v>
      </c>
      <c r="B766" s="401" t="s">
        <v>475</v>
      </c>
      <c r="C766" s="530" t="s">
        <v>1223</v>
      </c>
      <c r="D766" s="530" t="s">
        <v>1225</v>
      </c>
      <c r="E766" s="530"/>
      <c r="F766" s="389" t="s">
        <v>8</v>
      </c>
      <c r="G766" s="389" t="s">
        <v>265</v>
      </c>
      <c r="H766" s="379">
        <v>1</v>
      </c>
      <c r="I766" s="379">
        <v>5</v>
      </c>
      <c r="J766" s="379">
        <f t="shared" si="49"/>
        <v>1</v>
      </c>
      <c r="K766" s="379">
        <f t="shared" si="50"/>
        <v>5</v>
      </c>
      <c r="L766" s="643">
        <f>IFERROR(IF(B766="funkcna poziadavka",VLOOKUP(G766,MODULY_CBA!$B$3:$E$23,4,0)*H766/SUMIFS($H$3:$H$199,$G$3:$G$199,G766,$B$3:$B$199,B766),),)</f>
        <v>0</v>
      </c>
      <c r="M766" s="379">
        <f>IFERROR(IF(B766="Funkcna poziadavka",VLOOKUP(G766,MODULY_CBA!$B$3:$E$23,3,0),),)</f>
        <v>0.93499999999999994</v>
      </c>
      <c r="N766" s="379">
        <f>IFERROR(IF(B766="funkcna poziadavka",VLOOKUP(G766,MODULY_CBA!$B$3:$E$23,2,0),),)</f>
        <v>1.18</v>
      </c>
      <c r="O766" s="378">
        <f t="shared" si="51"/>
        <v>5.5164999999999997</v>
      </c>
      <c r="P766" s="377">
        <f>IFERROR(O766*VLOOKUP(G766,MODULY_CBA!$B$3:$F$23,5,0),)</f>
        <v>165.495</v>
      </c>
      <c r="Q766" s="478" t="str">
        <f>IFERROR(VLOOKUP(G766,MODULY_CBA!$B$3:$I$23,6,0),"")</f>
        <v>Inkrement 5</v>
      </c>
    </row>
    <row r="767" spans="1:17" ht="38.25">
      <c r="A767" s="401">
        <v>765</v>
      </c>
      <c r="B767" s="401" t="s">
        <v>475</v>
      </c>
      <c r="C767" s="530" t="s">
        <v>1223</v>
      </c>
      <c r="D767" s="530" t="s">
        <v>1226</v>
      </c>
      <c r="E767" s="530"/>
      <c r="F767" s="389" t="s">
        <v>8</v>
      </c>
      <c r="G767" s="389" t="s">
        <v>265</v>
      </c>
      <c r="H767" s="379">
        <v>1</v>
      </c>
      <c r="I767" s="379">
        <v>5</v>
      </c>
      <c r="J767" s="379">
        <f t="shared" si="49"/>
        <v>1</v>
      </c>
      <c r="K767" s="379">
        <f t="shared" si="50"/>
        <v>5</v>
      </c>
      <c r="L767" s="643">
        <f>IFERROR(IF(B767="funkcna poziadavka",VLOOKUP(G767,MODULY_CBA!$B$3:$E$23,4,0)*H767/SUMIFS($H$3:$H$199,$G$3:$G$199,G767,$B$3:$B$199,B767),),)</f>
        <v>0</v>
      </c>
      <c r="M767" s="379">
        <f>IFERROR(IF(B767="Funkcna poziadavka",VLOOKUP(G767,MODULY_CBA!$B$3:$E$23,3,0),),)</f>
        <v>0.93499999999999994</v>
      </c>
      <c r="N767" s="379">
        <f>IFERROR(IF(B767="funkcna poziadavka",VLOOKUP(G767,MODULY_CBA!$B$3:$E$23,2,0),),)</f>
        <v>1.18</v>
      </c>
      <c r="O767" s="378">
        <f t="shared" si="51"/>
        <v>5.5164999999999997</v>
      </c>
      <c r="P767" s="377">
        <f>IFERROR(O767*VLOOKUP(G767,MODULY_CBA!$B$3:$F$23,5,0),)</f>
        <v>165.495</v>
      </c>
      <c r="Q767" s="478" t="str">
        <f>IFERROR(VLOOKUP(G767,MODULY_CBA!$B$3:$I$23,6,0),"")</f>
        <v>Inkrement 5</v>
      </c>
    </row>
    <row r="768" spans="1:17" ht="25.5">
      <c r="A768" s="401">
        <v>766</v>
      </c>
      <c r="B768" s="401" t="s">
        <v>475</v>
      </c>
      <c r="C768" s="530" t="s">
        <v>1227</v>
      </c>
      <c r="D768" s="530" t="s">
        <v>1068</v>
      </c>
      <c r="E768" s="389"/>
      <c r="F768" s="389" t="s">
        <v>8</v>
      </c>
      <c r="G768" s="389" t="s">
        <v>265</v>
      </c>
      <c r="H768" s="379">
        <v>1</v>
      </c>
      <c r="I768" s="379">
        <v>5</v>
      </c>
      <c r="J768" s="379">
        <f t="shared" si="49"/>
        <v>1</v>
      </c>
      <c r="K768" s="379">
        <f t="shared" si="50"/>
        <v>5</v>
      </c>
      <c r="L768" s="643">
        <f>IFERROR(IF(B768="funkcna poziadavka",VLOOKUP(G768,MODULY_CBA!$B$3:$E$23,4,0)*H768/SUMIFS($H$3:$H$199,$G$3:$G$199,G768,$B$3:$B$199,B768),),)</f>
        <v>0</v>
      </c>
      <c r="M768" s="379">
        <f>IFERROR(IF(B768="Funkcna poziadavka",VLOOKUP(G768,MODULY_CBA!$B$3:$E$23,3,0),),)</f>
        <v>0.93499999999999994</v>
      </c>
      <c r="N768" s="379">
        <f>IFERROR(IF(B768="funkcna poziadavka",VLOOKUP(G768,MODULY_CBA!$B$3:$E$23,2,0),),)</f>
        <v>1.18</v>
      </c>
      <c r="O768" s="378">
        <f t="shared" si="51"/>
        <v>5.5164999999999997</v>
      </c>
      <c r="P768" s="377">
        <f>IFERROR(O768*VLOOKUP(G768,MODULY_CBA!$B$3:$F$23,5,0),)</f>
        <v>165.495</v>
      </c>
      <c r="Q768" s="478" t="str">
        <f>IFERROR(VLOOKUP(G768,MODULY_CBA!$B$3:$I$23,6,0),"")</f>
        <v>Inkrement 5</v>
      </c>
    </row>
    <row r="769" spans="1:17" ht="25.5">
      <c r="A769" s="401">
        <v>767</v>
      </c>
      <c r="B769" s="401" t="s">
        <v>475</v>
      </c>
      <c r="C769" s="530" t="s">
        <v>1227</v>
      </c>
      <c r="D769" s="530" t="s">
        <v>1069</v>
      </c>
      <c r="E769" s="389"/>
      <c r="F769" s="389" t="s">
        <v>8</v>
      </c>
      <c r="G769" s="389" t="s">
        <v>265</v>
      </c>
      <c r="H769" s="379">
        <v>1</v>
      </c>
      <c r="I769" s="379">
        <v>5</v>
      </c>
      <c r="J769" s="379">
        <f t="shared" si="49"/>
        <v>1</v>
      </c>
      <c r="K769" s="379">
        <f t="shared" si="50"/>
        <v>5</v>
      </c>
      <c r="L769" s="643">
        <f>IFERROR(IF(B769="funkcna poziadavka",VLOOKUP(G769,MODULY_CBA!$B$3:$E$23,4,0)*H769/SUMIFS($H$3:$H$199,$G$3:$G$199,G769,$B$3:$B$199,B769),),)</f>
        <v>0</v>
      </c>
      <c r="M769" s="379">
        <f>IFERROR(IF(B769="Funkcna poziadavka",VLOOKUP(G769,MODULY_CBA!$B$3:$E$23,3,0),),)</f>
        <v>0.93499999999999994</v>
      </c>
      <c r="N769" s="379">
        <f>IFERROR(IF(B769="funkcna poziadavka",VLOOKUP(G769,MODULY_CBA!$B$3:$E$23,2,0),),)</f>
        <v>1.18</v>
      </c>
      <c r="O769" s="378">
        <f t="shared" si="51"/>
        <v>5.5164999999999997</v>
      </c>
      <c r="P769" s="377">
        <f>IFERROR(O769*VLOOKUP(G769,MODULY_CBA!$B$3:$F$23,5,0),)</f>
        <v>165.495</v>
      </c>
      <c r="Q769" s="478" t="str">
        <f>IFERROR(VLOOKUP(G769,MODULY_CBA!$B$3:$I$23,6,0),"")</f>
        <v>Inkrement 5</v>
      </c>
    </row>
    <row r="770" spans="1:17" ht="25.5">
      <c r="A770" s="401">
        <v>768</v>
      </c>
      <c r="B770" s="401" t="s">
        <v>475</v>
      </c>
      <c r="C770" s="530" t="s">
        <v>1227</v>
      </c>
      <c r="D770" s="530" t="s">
        <v>1070</v>
      </c>
      <c r="E770" s="389"/>
      <c r="F770" s="389" t="s">
        <v>8</v>
      </c>
      <c r="G770" s="389" t="s">
        <v>265</v>
      </c>
      <c r="H770" s="379">
        <v>1</v>
      </c>
      <c r="I770" s="379">
        <v>5</v>
      </c>
      <c r="J770" s="379">
        <f t="shared" si="49"/>
        <v>1</v>
      </c>
      <c r="K770" s="379">
        <f t="shared" si="50"/>
        <v>5</v>
      </c>
      <c r="L770" s="643">
        <f>IFERROR(IF(B770="funkcna poziadavka",VLOOKUP(G770,MODULY_CBA!$B$3:$E$23,4,0)*H770/SUMIFS($H$3:$H$199,$G$3:$G$199,G770,$B$3:$B$199,B770),),)</f>
        <v>0</v>
      </c>
      <c r="M770" s="379">
        <f>IFERROR(IF(B770="Funkcna poziadavka",VLOOKUP(G770,MODULY_CBA!$B$3:$E$23,3,0),),)</f>
        <v>0.93499999999999994</v>
      </c>
      <c r="N770" s="379">
        <f>IFERROR(IF(B770="funkcna poziadavka",VLOOKUP(G770,MODULY_CBA!$B$3:$E$23,2,0),),)</f>
        <v>1.18</v>
      </c>
      <c r="O770" s="378">
        <f t="shared" si="51"/>
        <v>5.5164999999999997</v>
      </c>
      <c r="P770" s="377">
        <f>IFERROR(O770*VLOOKUP(G770,MODULY_CBA!$B$3:$F$23,5,0),)</f>
        <v>165.495</v>
      </c>
      <c r="Q770" s="478" t="str">
        <f>IFERROR(VLOOKUP(G770,MODULY_CBA!$B$3:$I$23,6,0),"")</f>
        <v>Inkrement 5</v>
      </c>
    </row>
    <row r="771" spans="1:17" ht="25.5">
      <c r="A771" s="401">
        <v>769</v>
      </c>
      <c r="B771" s="401" t="s">
        <v>475</v>
      </c>
      <c r="C771" s="530" t="s">
        <v>1227</v>
      </c>
      <c r="D771" s="530" t="s">
        <v>1228</v>
      </c>
      <c r="E771" s="530"/>
      <c r="F771" s="389" t="s">
        <v>8</v>
      </c>
      <c r="G771" s="389" t="s">
        <v>265</v>
      </c>
      <c r="H771" s="379">
        <v>1</v>
      </c>
      <c r="I771" s="379">
        <v>5</v>
      </c>
      <c r="J771" s="379">
        <f t="shared" si="49"/>
        <v>1</v>
      </c>
      <c r="K771" s="379">
        <f t="shared" si="50"/>
        <v>5</v>
      </c>
      <c r="L771" s="643">
        <f>IFERROR(IF(B771="funkcna poziadavka",VLOOKUP(G771,MODULY_CBA!$B$3:$E$23,4,0)*H771/SUMIFS($H$3:$H$199,$G$3:$G$199,G771,$B$3:$B$199,B771),),)</f>
        <v>0</v>
      </c>
      <c r="M771" s="379">
        <f>IFERROR(IF(B771="Funkcna poziadavka",VLOOKUP(G771,MODULY_CBA!$B$3:$E$23,3,0),),)</f>
        <v>0.93499999999999994</v>
      </c>
      <c r="N771" s="379">
        <f>IFERROR(IF(B771="funkcna poziadavka",VLOOKUP(G771,MODULY_CBA!$B$3:$E$23,2,0),),)</f>
        <v>1.18</v>
      </c>
      <c r="O771" s="378">
        <f t="shared" si="51"/>
        <v>5.5164999999999997</v>
      </c>
      <c r="P771" s="377">
        <f>IFERROR(O771*VLOOKUP(G771,MODULY_CBA!$B$3:$F$23,5,0),)</f>
        <v>165.495</v>
      </c>
      <c r="Q771" s="478" t="str">
        <f>IFERROR(VLOOKUP(G771,MODULY_CBA!$B$3:$I$23,6,0),"")</f>
        <v>Inkrement 5</v>
      </c>
    </row>
    <row r="772" spans="1:17" ht="25.5">
      <c r="A772" s="401">
        <v>770</v>
      </c>
      <c r="B772" s="401" t="s">
        <v>475</v>
      </c>
      <c r="C772" s="530" t="s">
        <v>1229</v>
      </c>
      <c r="D772" s="530" t="s">
        <v>1230</v>
      </c>
      <c r="E772" s="530"/>
      <c r="F772" s="389" t="s">
        <v>8</v>
      </c>
      <c r="G772" s="389" t="s">
        <v>265</v>
      </c>
      <c r="H772" s="379">
        <v>1</v>
      </c>
      <c r="I772" s="379">
        <v>5</v>
      </c>
      <c r="J772" s="379">
        <f t="shared" si="49"/>
        <v>1</v>
      </c>
      <c r="K772" s="379">
        <f t="shared" si="50"/>
        <v>5</v>
      </c>
      <c r="L772" s="643">
        <f>IFERROR(IF(B772="funkcna poziadavka",VLOOKUP(G772,MODULY_CBA!$B$3:$E$23,4,0)*H772/SUMIFS($H$3:$H$199,$G$3:$G$199,G772,$B$3:$B$199,B772),),)</f>
        <v>0</v>
      </c>
      <c r="M772" s="379">
        <f>IFERROR(IF(B772="Funkcna poziadavka",VLOOKUP(G772,MODULY_CBA!$B$3:$E$23,3,0),),)</f>
        <v>0.93499999999999994</v>
      </c>
      <c r="N772" s="379">
        <f>IFERROR(IF(B772="funkcna poziadavka",VLOOKUP(G772,MODULY_CBA!$B$3:$E$23,2,0),),)</f>
        <v>1.18</v>
      </c>
      <c r="O772" s="378">
        <f t="shared" si="51"/>
        <v>5.5164999999999997</v>
      </c>
      <c r="P772" s="377">
        <f>IFERROR(O772*VLOOKUP(G772,MODULY_CBA!$B$3:$F$23,5,0),)</f>
        <v>165.495</v>
      </c>
      <c r="Q772" s="478" t="str">
        <f>IFERROR(VLOOKUP(G772,MODULY_CBA!$B$3:$I$23,6,0),"")</f>
        <v>Inkrement 5</v>
      </c>
    </row>
    <row r="773" spans="1:17" ht="25.5">
      <c r="A773" s="401">
        <v>771</v>
      </c>
      <c r="B773" s="401" t="s">
        <v>475</v>
      </c>
      <c r="C773" s="530" t="s">
        <v>1229</v>
      </c>
      <c r="D773" s="530" t="s">
        <v>1231</v>
      </c>
      <c r="E773" s="530"/>
      <c r="F773" s="389" t="s">
        <v>8</v>
      </c>
      <c r="G773" s="389" t="s">
        <v>265</v>
      </c>
      <c r="H773" s="379">
        <v>1</v>
      </c>
      <c r="I773" s="379">
        <v>5</v>
      </c>
      <c r="J773" s="379">
        <f t="shared" ref="J773:J815" si="52">IF(ISNUMBER(H773),H773,)</f>
        <v>1</v>
      </c>
      <c r="K773" s="379">
        <f t="shared" si="50"/>
        <v>5</v>
      </c>
      <c r="L773" s="643">
        <f>IFERROR(IF(B773="funkcna poziadavka",VLOOKUP(G773,MODULY_CBA!$B$3:$E$23,4,0)*H773/SUMIFS($H$3:$H$199,$G$3:$G$199,G773,$B$3:$B$199,B773),),)</f>
        <v>0</v>
      </c>
      <c r="M773" s="379">
        <f>IFERROR(IF(B773="Funkcna poziadavka",VLOOKUP(G773,MODULY_CBA!$B$3:$E$23,3,0),),)</f>
        <v>0.93499999999999994</v>
      </c>
      <c r="N773" s="379">
        <f>IFERROR(IF(B773="funkcna poziadavka",VLOOKUP(G773,MODULY_CBA!$B$3:$E$23,2,0),),)</f>
        <v>1.18</v>
      </c>
      <c r="O773" s="378">
        <f t="shared" si="51"/>
        <v>5.5164999999999997</v>
      </c>
      <c r="P773" s="377">
        <f>IFERROR(O773*VLOOKUP(G773,MODULY_CBA!$B$3:$F$23,5,0),)</f>
        <v>165.495</v>
      </c>
      <c r="Q773" s="478" t="str">
        <f>IFERROR(VLOOKUP(G773,MODULY_CBA!$B$3:$I$23,6,0),"")</f>
        <v>Inkrement 5</v>
      </c>
    </row>
    <row r="774" spans="1:17" ht="25.5">
      <c r="A774" s="401">
        <v>772</v>
      </c>
      <c r="B774" s="401" t="s">
        <v>475</v>
      </c>
      <c r="C774" s="532" t="s">
        <v>1232</v>
      </c>
      <c r="D774" s="532" t="s">
        <v>1075</v>
      </c>
      <c r="E774" s="389"/>
      <c r="F774" s="389" t="s">
        <v>8</v>
      </c>
      <c r="G774" s="389" t="s">
        <v>265</v>
      </c>
      <c r="H774" s="379">
        <v>1</v>
      </c>
      <c r="I774" s="379">
        <v>5</v>
      </c>
      <c r="J774" s="379">
        <f t="shared" si="52"/>
        <v>1</v>
      </c>
      <c r="K774" s="379">
        <f t="shared" si="50"/>
        <v>5</v>
      </c>
      <c r="L774" s="643">
        <f>IFERROR(IF(B774="funkcna poziadavka",VLOOKUP(G774,MODULY_CBA!$B$3:$E$23,4,0)*H774/SUMIFS($H$3:$H$199,$G$3:$G$199,G774,$B$3:$B$199,B774),),)</f>
        <v>0</v>
      </c>
      <c r="M774" s="379">
        <f>IFERROR(IF(B774="Funkcna poziadavka",VLOOKUP(G774,MODULY_CBA!$B$3:$E$23,3,0),),)</f>
        <v>0.93499999999999994</v>
      </c>
      <c r="N774" s="379">
        <f>IFERROR(IF(B774="funkcna poziadavka",VLOOKUP(G774,MODULY_CBA!$B$3:$E$23,2,0),),)</f>
        <v>1.18</v>
      </c>
      <c r="O774" s="378">
        <f t="shared" si="51"/>
        <v>5.5164999999999997</v>
      </c>
      <c r="P774" s="377">
        <f>IFERROR(O774*VLOOKUP(G774,MODULY_CBA!$B$3:$F$23,5,0),)</f>
        <v>165.495</v>
      </c>
      <c r="Q774" s="478" t="str">
        <f>IFERROR(VLOOKUP(G774,MODULY_CBA!$B$3:$I$23,6,0),"")</f>
        <v>Inkrement 5</v>
      </c>
    </row>
    <row r="775" spans="1:17" ht="25.5">
      <c r="A775" s="401">
        <v>773</v>
      </c>
      <c r="B775" s="401" t="s">
        <v>475</v>
      </c>
      <c r="C775" s="532" t="s">
        <v>1232</v>
      </c>
      <c r="D775" s="532" t="s">
        <v>1076</v>
      </c>
      <c r="E775" s="389"/>
      <c r="F775" s="389" t="s">
        <v>8</v>
      </c>
      <c r="G775" s="389" t="s">
        <v>265</v>
      </c>
      <c r="H775" s="379">
        <v>1</v>
      </c>
      <c r="I775" s="379">
        <v>5</v>
      </c>
      <c r="J775" s="379">
        <f t="shared" si="52"/>
        <v>1</v>
      </c>
      <c r="K775" s="379">
        <f t="shared" si="50"/>
        <v>5</v>
      </c>
      <c r="L775" s="643">
        <f>IFERROR(IF(B775="funkcna poziadavka",VLOOKUP(G775,MODULY_CBA!$B$3:$E$23,4,0)*H775/SUMIFS($H$3:$H$199,$G$3:$G$199,G775,$B$3:$B$199,B775),),)</f>
        <v>0</v>
      </c>
      <c r="M775" s="379">
        <f>IFERROR(IF(B775="Funkcna poziadavka",VLOOKUP(G775,MODULY_CBA!$B$3:$E$23,3,0),),)</f>
        <v>0.93499999999999994</v>
      </c>
      <c r="N775" s="379">
        <f>IFERROR(IF(B775="funkcna poziadavka",VLOOKUP(G775,MODULY_CBA!$B$3:$E$23,2,0),),)</f>
        <v>1.18</v>
      </c>
      <c r="O775" s="378">
        <f t="shared" si="51"/>
        <v>5.5164999999999997</v>
      </c>
      <c r="P775" s="377">
        <f>IFERROR(O775*VLOOKUP(G775,MODULY_CBA!$B$3:$F$23,5,0),)</f>
        <v>165.495</v>
      </c>
      <c r="Q775" s="478" t="str">
        <f>IFERROR(VLOOKUP(G775,MODULY_CBA!$B$3:$I$23,6,0),"")</f>
        <v>Inkrement 5</v>
      </c>
    </row>
    <row r="776" spans="1:17" ht="25.5">
      <c r="A776" s="401">
        <v>774</v>
      </c>
      <c r="B776" s="401" t="s">
        <v>475</v>
      </c>
      <c r="C776" s="532" t="s">
        <v>1233</v>
      </c>
      <c r="D776" s="532" t="s">
        <v>1234</v>
      </c>
      <c r="E776" s="389"/>
      <c r="F776" s="389" t="s">
        <v>8</v>
      </c>
      <c r="G776" s="389" t="s">
        <v>241</v>
      </c>
      <c r="H776" s="379">
        <v>2</v>
      </c>
      <c r="I776" s="379">
        <v>15</v>
      </c>
      <c r="J776" s="379">
        <f t="shared" si="52"/>
        <v>2</v>
      </c>
      <c r="K776" s="379">
        <f t="shared" si="50"/>
        <v>30</v>
      </c>
      <c r="L776" s="643">
        <f>IFERROR(IF(B776="funkcna poziadavka",VLOOKUP(G776,MODULY_CBA!$B$3:$E$23,4,0)*H776/SUMIFS($H$3:$H$199,$G$3:$G$199,G776,$B$3:$B$199,B776),),)</f>
        <v>0</v>
      </c>
      <c r="M776" s="379">
        <f>IFERROR(IF(B776="Funkcna poziadavka",VLOOKUP(G776,MODULY_CBA!$B$3:$E$23,3,0),),)</f>
        <v>0.93499999999999994</v>
      </c>
      <c r="N776" s="379">
        <f>IFERROR(IF(B776="funkcna poziadavka",VLOOKUP(G776,MODULY_CBA!$B$3:$E$23,2,0),),)</f>
        <v>1.18</v>
      </c>
      <c r="O776" s="378">
        <f t="shared" si="51"/>
        <v>33.098999999999997</v>
      </c>
      <c r="P776" s="377">
        <f>IFERROR(O776*VLOOKUP(G776,MODULY_CBA!$B$3:$F$23,5,0),)</f>
        <v>827.47499999999991</v>
      </c>
      <c r="Q776" s="478" t="str">
        <f>IFERROR(VLOOKUP(G776,MODULY_CBA!$B$3:$I$23,6,0),"")</f>
        <v>Inkrement 1</v>
      </c>
    </row>
    <row r="777" spans="1:17" ht="25.5">
      <c r="A777" s="401">
        <v>775</v>
      </c>
      <c r="B777" s="401" t="s">
        <v>475</v>
      </c>
      <c r="C777" s="532" t="s">
        <v>1233</v>
      </c>
      <c r="D777" s="532" t="s">
        <v>1235</v>
      </c>
      <c r="E777" s="389"/>
      <c r="F777" s="389" t="s">
        <v>8</v>
      </c>
      <c r="G777" s="389" t="s">
        <v>241</v>
      </c>
      <c r="H777" s="379">
        <v>2</v>
      </c>
      <c r="I777" s="379">
        <v>15</v>
      </c>
      <c r="J777" s="379">
        <f t="shared" si="52"/>
        <v>2</v>
      </c>
      <c r="K777" s="379">
        <f t="shared" si="50"/>
        <v>30</v>
      </c>
      <c r="L777" s="643">
        <f>IFERROR(IF(B777="funkcna poziadavka",VLOOKUP(G777,MODULY_CBA!$B$3:$E$23,4,0)*H777/SUMIFS($H$3:$H$199,$G$3:$G$199,G777,$B$3:$B$199,B777),),)</f>
        <v>0</v>
      </c>
      <c r="M777" s="379">
        <f>IFERROR(IF(B777="Funkcna poziadavka",VLOOKUP(G777,MODULY_CBA!$B$3:$E$23,3,0),),)</f>
        <v>0.93499999999999994</v>
      </c>
      <c r="N777" s="379">
        <f>IFERROR(IF(B777="funkcna poziadavka",VLOOKUP(G777,MODULY_CBA!$B$3:$E$23,2,0),),)</f>
        <v>1.18</v>
      </c>
      <c r="O777" s="378">
        <f t="shared" si="51"/>
        <v>33.098999999999997</v>
      </c>
      <c r="P777" s="377">
        <f>IFERROR(O777*VLOOKUP(G777,MODULY_CBA!$B$3:$F$23,5,0),)</f>
        <v>827.47499999999991</v>
      </c>
      <c r="Q777" s="478" t="str">
        <f>IFERROR(VLOOKUP(G777,MODULY_CBA!$B$3:$I$23,6,0),"")</f>
        <v>Inkrement 1</v>
      </c>
    </row>
    <row r="778" spans="1:17" ht="25.5">
      <c r="A778" s="401">
        <v>776</v>
      </c>
      <c r="B778" s="401" t="s">
        <v>475</v>
      </c>
      <c r="C778" s="532" t="s">
        <v>1233</v>
      </c>
      <c r="D778" s="532" t="s">
        <v>1236</v>
      </c>
      <c r="E778" s="389"/>
      <c r="F778" s="389" t="s">
        <v>8</v>
      </c>
      <c r="G778" s="389" t="s">
        <v>241</v>
      </c>
      <c r="H778" s="379">
        <v>2</v>
      </c>
      <c r="I778" s="379">
        <v>15</v>
      </c>
      <c r="J778" s="379">
        <f t="shared" si="52"/>
        <v>2</v>
      </c>
      <c r="K778" s="379">
        <f t="shared" si="50"/>
        <v>30</v>
      </c>
      <c r="L778" s="643">
        <f>IFERROR(IF(B778="funkcna poziadavka",VLOOKUP(G778,MODULY_CBA!$B$3:$E$23,4,0)*H778/SUMIFS($H$3:$H$199,$G$3:$G$199,G778,$B$3:$B$199,B778),),)</f>
        <v>0</v>
      </c>
      <c r="M778" s="379">
        <f>IFERROR(IF(B778="Funkcna poziadavka",VLOOKUP(G778,MODULY_CBA!$B$3:$E$23,3,0),),)</f>
        <v>0.93499999999999994</v>
      </c>
      <c r="N778" s="379">
        <f>IFERROR(IF(B778="funkcna poziadavka",VLOOKUP(G778,MODULY_CBA!$B$3:$E$23,2,0),),)</f>
        <v>1.18</v>
      </c>
      <c r="O778" s="378">
        <f t="shared" si="51"/>
        <v>33.098999999999997</v>
      </c>
      <c r="P778" s="377">
        <f>IFERROR(O778*VLOOKUP(G778,MODULY_CBA!$B$3:$F$23,5,0),)</f>
        <v>827.47499999999991</v>
      </c>
      <c r="Q778" s="478" t="str">
        <f>IFERROR(VLOOKUP(G778,MODULY_CBA!$B$3:$I$23,6,0),"")</f>
        <v>Inkrement 1</v>
      </c>
    </row>
    <row r="779" spans="1:17" ht="25.5">
      <c r="A779" s="401">
        <v>777</v>
      </c>
      <c r="B779" s="401" t="s">
        <v>475</v>
      </c>
      <c r="C779" s="532" t="s">
        <v>1233</v>
      </c>
      <c r="D779" s="532" t="s">
        <v>1237</v>
      </c>
      <c r="E779" s="389"/>
      <c r="F779" s="389" t="s">
        <v>8</v>
      </c>
      <c r="G779" s="389" t="s">
        <v>241</v>
      </c>
      <c r="H779" s="379">
        <v>2</v>
      </c>
      <c r="I779" s="379">
        <v>15</v>
      </c>
      <c r="J779" s="379">
        <f t="shared" si="52"/>
        <v>2</v>
      </c>
      <c r="K779" s="379">
        <f t="shared" si="50"/>
        <v>30</v>
      </c>
      <c r="L779" s="643">
        <f>IFERROR(IF(B779="funkcna poziadavka",VLOOKUP(G779,MODULY_CBA!$B$3:$E$23,4,0)*H779/SUMIFS($H$3:$H$199,$G$3:$G$199,G779,$B$3:$B$199,B779),),)</f>
        <v>0</v>
      </c>
      <c r="M779" s="379">
        <f>IFERROR(IF(B779="Funkcna poziadavka",VLOOKUP(G779,MODULY_CBA!$B$3:$E$23,3,0),),)</f>
        <v>0.93499999999999994</v>
      </c>
      <c r="N779" s="379">
        <f>IFERROR(IF(B779="funkcna poziadavka",VLOOKUP(G779,MODULY_CBA!$B$3:$E$23,2,0),),)</f>
        <v>1.18</v>
      </c>
      <c r="O779" s="378">
        <f t="shared" si="51"/>
        <v>33.098999999999997</v>
      </c>
      <c r="P779" s="377">
        <f>IFERROR(O779*VLOOKUP(G779,MODULY_CBA!$B$3:$F$23,5,0),)</f>
        <v>827.47499999999991</v>
      </c>
      <c r="Q779" s="478" t="str">
        <f>IFERROR(VLOOKUP(G779,MODULY_CBA!$B$3:$I$23,6,0),"")</f>
        <v>Inkrement 1</v>
      </c>
    </row>
    <row r="780" spans="1:17" ht="25.5">
      <c r="A780" s="401">
        <v>778</v>
      </c>
      <c r="B780" s="401" t="s">
        <v>475</v>
      </c>
      <c r="C780" s="532" t="s">
        <v>1233</v>
      </c>
      <c r="D780" s="532" t="s">
        <v>1238</v>
      </c>
      <c r="E780" s="389"/>
      <c r="F780" s="389" t="s">
        <v>8</v>
      </c>
      <c r="G780" s="389" t="s">
        <v>241</v>
      </c>
      <c r="H780" s="379">
        <v>2</v>
      </c>
      <c r="I780" s="379">
        <v>15</v>
      </c>
      <c r="J780" s="379">
        <f t="shared" si="52"/>
        <v>2</v>
      </c>
      <c r="K780" s="379">
        <f t="shared" ref="K780:K815" si="53">H780*I780</f>
        <v>30</v>
      </c>
      <c r="L780" s="643">
        <f>IFERROR(IF(B780="funkcna poziadavka",VLOOKUP(G780,MODULY_CBA!$B$3:$E$23,4,0)*H780/SUMIFS($H$3:$H$199,$G$3:$G$199,G780,$B$3:$B$199,B780),),)</f>
        <v>0</v>
      </c>
      <c r="M780" s="379">
        <f>IFERROR(IF(B780="Funkcna poziadavka",VLOOKUP(G780,MODULY_CBA!$B$3:$E$23,3,0),),)</f>
        <v>0.93499999999999994</v>
      </c>
      <c r="N780" s="379">
        <f>IFERROR(IF(B780="funkcna poziadavka",VLOOKUP(G780,MODULY_CBA!$B$3:$E$23,2,0),),)</f>
        <v>1.18</v>
      </c>
      <c r="O780" s="378">
        <f t="shared" ref="O780:O815" si="54">(K780+L780)*M780*N780</f>
        <v>33.098999999999997</v>
      </c>
      <c r="P780" s="377">
        <f>IFERROR(O780*VLOOKUP(G780,MODULY_CBA!$B$3:$F$23,5,0),)</f>
        <v>827.47499999999991</v>
      </c>
      <c r="Q780" s="478" t="str">
        <f>IFERROR(VLOOKUP(G780,MODULY_CBA!$B$3:$I$23,6,0),"")</f>
        <v>Inkrement 1</v>
      </c>
    </row>
    <row r="781" spans="1:17" ht="25.5">
      <c r="A781" s="401">
        <v>779</v>
      </c>
      <c r="B781" s="401" t="s">
        <v>475</v>
      </c>
      <c r="C781" s="532" t="s">
        <v>1233</v>
      </c>
      <c r="D781" s="532" t="s">
        <v>1239</v>
      </c>
      <c r="E781" s="389"/>
      <c r="F781" s="389" t="s">
        <v>8</v>
      </c>
      <c r="G781" s="389" t="s">
        <v>241</v>
      </c>
      <c r="H781" s="379">
        <v>2</v>
      </c>
      <c r="I781" s="379">
        <v>15</v>
      </c>
      <c r="J781" s="379">
        <f t="shared" si="52"/>
        <v>2</v>
      </c>
      <c r="K781" s="379">
        <f t="shared" si="53"/>
        <v>30</v>
      </c>
      <c r="L781" s="643">
        <f>IFERROR(IF(B781="funkcna poziadavka",VLOOKUP(G781,MODULY_CBA!$B$3:$E$23,4,0)*H781/SUMIFS($H$3:$H$199,$G$3:$G$199,G781,$B$3:$B$199,B781),),)</f>
        <v>0</v>
      </c>
      <c r="M781" s="379">
        <f>IFERROR(IF(B781="Funkcna poziadavka",VLOOKUP(G781,MODULY_CBA!$B$3:$E$23,3,0),),)</f>
        <v>0.93499999999999994</v>
      </c>
      <c r="N781" s="379">
        <f>IFERROR(IF(B781="funkcna poziadavka",VLOOKUP(G781,MODULY_CBA!$B$3:$E$23,2,0),),)</f>
        <v>1.18</v>
      </c>
      <c r="O781" s="378">
        <f t="shared" si="54"/>
        <v>33.098999999999997</v>
      </c>
      <c r="P781" s="377">
        <f>IFERROR(O781*VLOOKUP(G781,MODULY_CBA!$B$3:$F$23,5,0),)</f>
        <v>827.47499999999991</v>
      </c>
      <c r="Q781" s="478" t="str">
        <f>IFERROR(VLOOKUP(G781,MODULY_CBA!$B$3:$I$23,6,0),"")</f>
        <v>Inkrement 1</v>
      </c>
    </row>
    <row r="782" spans="1:17" ht="25.5">
      <c r="A782" s="401">
        <v>780</v>
      </c>
      <c r="B782" s="401" t="s">
        <v>475</v>
      </c>
      <c r="C782" s="532" t="s">
        <v>1233</v>
      </c>
      <c r="D782" s="532" t="s">
        <v>1240</v>
      </c>
      <c r="E782" s="389"/>
      <c r="F782" s="389" t="s">
        <v>8</v>
      </c>
      <c r="G782" s="389" t="s">
        <v>241</v>
      </c>
      <c r="H782" s="379">
        <v>2</v>
      </c>
      <c r="I782" s="379">
        <v>15</v>
      </c>
      <c r="J782" s="379">
        <f t="shared" si="52"/>
        <v>2</v>
      </c>
      <c r="K782" s="379">
        <f t="shared" si="53"/>
        <v>30</v>
      </c>
      <c r="L782" s="643">
        <f>IFERROR(IF(B782="funkcna poziadavka",VLOOKUP(G782,MODULY_CBA!$B$3:$E$23,4,0)*H782/SUMIFS($H$3:$H$199,$G$3:$G$199,G782,$B$3:$B$199,B782),),)</f>
        <v>0</v>
      </c>
      <c r="M782" s="379">
        <f>IFERROR(IF(B782="Funkcna poziadavka",VLOOKUP(G782,MODULY_CBA!$B$3:$E$23,3,0),),)</f>
        <v>0.93499999999999994</v>
      </c>
      <c r="N782" s="379">
        <f>IFERROR(IF(B782="funkcna poziadavka",VLOOKUP(G782,MODULY_CBA!$B$3:$E$23,2,0),),)</f>
        <v>1.18</v>
      </c>
      <c r="O782" s="378">
        <f t="shared" si="54"/>
        <v>33.098999999999997</v>
      </c>
      <c r="P782" s="377">
        <f>IFERROR(O782*VLOOKUP(G782,MODULY_CBA!$B$3:$F$23,5,0),)</f>
        <v>827.47499999999991</v>
      </c>
      <c r="Q782" s="478" t="str">
        <f>IFERROR(VLOOKUP(G782,MODULY_CBA!$B$3:$I$23,6,0),"")</f>
        <v>Inkrement 1</v>
      </c>
    </row>
    <row r="783" spans="1:17" ht="25.5">
      <c r="A783" s="401">
        <v>781</v>
      </c>
      <c r="B783" s="401" t="s">
        <v>475</v>
      </c>
      <c r="C783" s="532" t="s">
        <v>1233</v>
      </c>
      <c r="D783" s="532" t="s">
        <v>1241</v>
      </c>
      <c r="E783" s="389"/>
      <c r="F783" s="389" t="s">
        <v>8</v>
      </c>
      <c r="G783" s="389" t="s">
        <v>241</v>
      </c>
      <c r="H783" s="379">
        <v>2</v>
      </c>
      <c r="I783" s="379">
        <v>15</v>
      </c>
      <c r="J783" s="379">
        <f t="shared" si="52"/>
        <v>2</v>
      </c>
      <c r="K783" s="379">
        <f t="shared" si="53"/>
        <v>30</v>
      </c>
      <c r="L783" s="643">
        <f>IFERROR(IF(B783="funkcna poziadavka",VLOOKUP(G783,MODULY_CBA!$B$3:$E$23,4,0)*H783/SUMIFS($H$3:$H$199,$G$3:$G$199,G783,$B$3:$B$199,B783),),)</f>
        <v>0</v>
      </c>
      <c r="M783" s="379">
        <f>IFERROR(IF(B783="Funkcna poziadavka",VLOOKUP(G783,MODULY_CBA!$B$3:$E$23,3,0),),)</f>
        <v>0.93499999999999994</v>
      </c>
      <c r="N783" s="379">
        <f>IFERROR(IF(B783="funkcna poziadavka",VLOOKUP(G783,MODULY_CBA!$B$3:$E$23,2,0),),)</f>
        <v>1.18</v>
      </c>
      <c r="O783" s="378">
        <f t="shared" si="54"/>
        <v>33.098999999999997</v>
      </c>
      <c r="P783" s="377">
        <f>IFERROR(O783*VLOOKUP(G783,MODULY_CBA!$B$3:$F$23,5,0),)</f>
        <v>827.47499999999991</v>
      </c>
      <c r="Q783" s="478" t="str">
        <f>IFERROR(VLOOKUP(G783,MODULY_CBA!$B$3:$I$23,6,0),"")</f>
        <v>Inkrement 1</v>
      </c>
    </row>
    <row r="784" spans="1:17" ht="25.5">
      <c r="A784" s="401">
        <v>782</v>
      </c>
      <c r="B784" s="401" t="s">
        <v>475</v>
      </c>
      <c r="C784" s="532" t="s">
        <v>1233</v>
      </c>
      <c r="D784" s="532" t="s">
        <v>1242</v>
      </c>
      <c r="E784" s="389"/>
      <c r="F784" s="389" t="s">
        <v>8</v>
      </c>
      <c r="G784" s="389" t="s">
        <v>241</v>
      </c>
      <c r="H784" s="379">
        <v>2</v>
      </c>
      <c r="I784" s="379">
        <v>15</v>
      </c>
      <c r="J784" s="379">
        <f t="shared" si="52"/>
        <v>2</v>
      </c>
      <c r="K784" s="379">
        <f t="shared" si="53"/>
        <v>30</v>
      </c>
      <c r="L784" s="643">
        <f>IFERROR(IF(B784="funkcna poziadavka",VLOOKUP(G784,MODULY_CBA!$B$3:$E$23,4,0)*H784/SUMIFS($H$3:$H$199,$G$3:$G$199,G784,$B$3:$B$199,B784),),)</f>
        <v>0</v>
      </c>
      <c r="M784" s="379">
        <f>IFERROR(IF(B784="Funkcna poziadavka",VLOOKUP(G784,MODULY_CBA!$B$3:$E$23,3,0),),)</f>
        <v>0.93499999999999994</v>
      </c>
      <c r="N784" s="379">
        <f>IFERROR(IF(B784="funkcna poziadavka",VLOOKUP(G784,MODULY_CBA!$B$3:$E$23,2,0),),)</f>
        <v>1.18</v>
      </c>
      <c r="O784" s="378">
        <f t="shared" si="54"/>
        <v>33.098999999999997</v>
      </c>
      <c r="P784" s="377">
        <f>IFERROR(O784*VLOOKUP(G784,MODULY_CBA!$B$3:$F$23,5,0),)</f>
        <v>827.47499999999991</v>
      </c>
      <c r="Q784" s="478" t="str">
        <f>IFERROR(VLOOKUP(G784,MODULY_CBA!$B$3:$I$23,6,0),"")</f>
        <v>Inkrement 1</v>
      </c>
    </row>
    <row r="785" spans="1:17" ht="25.5">
      <c r="A785" s="401">
        <v>783</v>
      </c>
      <c r="B785" s="401" t="s">
        <v>475</v>
      </c>
      <c r="C785" s="532" t="s">
        <v>1233</v>
      </c>
      <c r="D785" s="532" t="s">
        <v>1243</v>
      </c>
      <c r="E785" s="389"/>
      <c r="F785" s="389" t="s">
        <v>8</v>
      </c>
      <c r="G785" s="389" t="s">
        <v>241</v>
      </c>
      <c r="H785" s="379">
        <v>2</v>
      </c>
      <c r="I785" s="379">
        <v>15</v>
      </c>
      <c r="J785" s="379">
        <f t="shared" si="52"/>
        <v>2</v>
      </c>
      <c r="K785" s="379">
        <f t="shared" si="53"/>
        <v>30</v>
      </c>
      <c r="L785" s="643">
        <f>IFERROR(IF(B785="funkcna poziadavka",VLOOKUP(G785,MODULY_CBA!$B$3:$E$23,4,0)*H785/SUMIFS($H$3:$H$199,$G$3:$G$199,G785,$B$3:$B$199,B785),),)</f>
        <v>0</v>
      </c>
      <c r="M785" s="379">
        <f>IFERROR(IF(B785="Funkcna poziadavka",VLOOKUP(G785,MODULY_CBA!$B$3:$E$23,3,0),),)</f>
        <v>0.93499999999999994</v>
      </c>
      <c r="N785" s="379">
        <f>IFERROR(IF(B785="funkcna poziadavka",VLOOKUP(G785,MODULY_CBA!$B$3:$E$23,2,0),),)</f>
        <v>1.18</v>
      </c>
      <c r="O785" s="378">
        <f t="shared" si="54"/>
        <v>33.098999999999997</v>
      </c>
      <c r="P785" s="377">
        <f>IFERROR(O785*VLOOKUP(G785,MODULY_CBA!$B$3:$F$23,5,0),)</f>
        <v>827.47499999999991</v>
      </c>
      <c r="Q785" s="478" t="str">
        <f>IFERROR(VLOOKUP(G785,MODULY_CBA!$B$3:$I$23,6,0),"")</f>
        <v>Inkrement 1</v>
      </c>
    </row>
    <row r="786" spans="1:17" ht="25.5">
      <c r="A786" s="401">
        <v>784</v>
      </c>
      <c r="B786" s="401" t="s">
        <v>475</v>
      </c>
      <c r="C786" s="532" t="s">
        <v>1233</v>
      </c>
      <c r="D786" s="532" t="s">
        <v>1244</v>
      </c>
      <c r="E786" s="389"/>
      <c r="F786" s="389" t="s">
        <v>8</v>
      </c>
      <c r="G786" s="389" t="s">
        <v>241</v>
      </c>
      <c r="H786" s="379">
        <v>2</v>
      </c>
      <c r="I786" s="379">
        <v>15</v>
      </c>
      <c r="J786" s="379">
        <f t="shared" si="52"/>
        <v>2</v>
      </c>
      <c r="K786" s="379">
        <f t="shared" si="53"/>
        <v>30</v>
      </c>
      <c r="L786" s="643">
        <f>IFERROR(IF(B786="funkcna poziadavka",VLOOKUP(G786,MODULY_CBA!$B$3:$E$23,4,0)*H786/SUMIFS($H$3:$H$199,$G$3:$G$199,G786,$B$3:$B$199,B786),),)</f>
        <v>0</v>
      </c>
      <c r="M786" s="379">
        <f>IFERROR(IF(B786="Funkcna poziadavka",VLOOKUP(G786,MODULY_CBA!$B$3:$E$23,3,0),),)</f>
        <v>0.93499999999999994</v>
      </c>
      <c r="N786" s="379">
        <f>IFERROR(IF(B786="funkcna poziadavka",VLOOKUP(G786,MODULY_CBA!$B$3:$E$23,2,0),),)</f>
        <v>1.18</v>
      </c>
      <c r="O786" s="378">
        <f t="shared" si="54"/>
        <v>33.098999999999997</v>
      </c>
      <c r="P786" s="377">
        <f>IFERROR(O786*VLOOKUP(G786,MODULY_CBA!$B$3:$F$23,5,0),)</f>
        <v>827.47499999999991</v>
      </c>
      <c r="Q786" s="478" t="str">
        <f>IFERROR(VLOOKUP(G786,MODULY_CBA!$B$3:$I$23,6,0),"")</f>
        <v>Inkrement 1</v>
      </c>
    </row>
    <row r="787" spans="1:17" ht="25.5">
      <c r="A787" s="401">
        <v>785</v>
      </c>
      <c r="B787" s="401" t="s">
        <v>475</v>
      </c>
      <c r="C787" s="532" t="s">
        <v>1233</v>
      </c>
      <c r="D787" s="532" t="s">
        <v>1245</v>
      </c>
      <c r="E787" s="389"/>
      <c r="F787" s="389" t="s">
        <v>8</v>
      </c>
      <c r="G787" s="389" t="s">
        <v>241</v>
      </c>
      <c r="H787" s="379">
        <v>2</v>
      </c>
      <c r="I787" s="379">
        <v>15</v>
      </c>
      <c r="J787" s="379">
        <f t="shared" si="52"/>
        <v>2</v>
      </c>
      <c r="K787" s="379">
        <f t="shared" si="53"/>
        <v>30</v>
      </c>
      <c r="L787" s="643">
        <f>IFERROR(IF(B787="funkcna poziadavka",VLOOKUP(G787,MODULY_CBA!$B$3:$E$23,4,0)*H787/SUMIFS($H$3:$H$199,$G$3:$G$199,G787,$B$3:$B$199,B787),),)</f>
        <v>0</v>
      </c>
      <c r="M787" s="379">
        <f>IFERROR(IF(B787="Funkcna poziadavka",VLOOKUP(G787,MODULY_CBA!$B$3:$E$23,3,0),),)</f>
        <v>0.93499999999999994</v>
      </c>
      <c r="N787" s="379">
        <f>IFERROR(IF(B787="funkcna poziadavka",VLOOKUP(G787,MODULY_CBA!$B$3:$E$23,2,0),),)</f>
        <v>1.18</v>
      </c>
      <c r="O787" s="378">
        <f t="shared" si="54"/>
        <v>33.098999999999997</v>
      </c>
      <c r="P787" s="377">
        <f>IFERROR(O787*VLOOKUP(G787,MODULY_CBA!$B$3:$F$23,5,0),)</f>
        <v>827.47499999999991</v>
      </c>
      <c r="Q787" s="478" t="str">
        <f>IFERROR(VLOOKUP(G787,MODULY_CBA!$B$3:$I$23,6,0),"")</f>
        <v>Inkrement 1</v>
      </c>
    </row>
    <row r="788" spans="1:17" ht="25.5">
      <c r="A788" s="401">
        <v>786</v>
      </c>
      <c r="B788" s="401" t="s">
        <v>475</v>
      </c>
      <c r="C788" s="532" t="s">
        <v>1233</v>
      </c>
      <c r="D788" s="532" t="s">
        <v>1246</v>
      </c>
      <c r="E788" s="389"/>
      <c r="F788" s="389" t="s">
        <v>8</v>
      </c>
      <c r="G788" s="389" t="s">
        <v>241</v>
      </c>
      <c r="H788" s="379">
        <v>2</v>
      </c>
      <c r="I788" s="379">
        <v>15</v>
      </c>
      <c r="J788" s="379">
        <f t="shared" si="52"/>
        <v>2</v>
      </c>
      <c r="K788" s="379">
        <f t="shared" si="53"/>
        <v>30</v>
      </c>
      <c r="L788" s="643">
        <f>IFERROR(IF(B788="funkcna poziadavka",VLOOKUP(G788,MODULY_CBA!$B$3:$E$23,4,0)*H788/SUMIFS($H$3:$H$199,$G$3:$G$199,G788,$B$3:$B$199,B788),),)</f>
        <v>0</v>
      </c>
      <c r="M788" s="379">
        <f>IFERROR(IF(B788="Funkcna poziadavka",VLOOKUP(G788,MODULY_CBA!$B$3:$E$23,3,0),),)</f>
        <v>0.93499999999999994</v>
      </c>
      <c r="N788" s="379">
        <f>IFERROR(IF(B788="funkcna poziadavka",VLOOKUP(G788,MODULY_CBA!$B$3:$E$23,2,0),),)</f>
        <v>1.18</v>
      </c>
      <c r="O788" s="378">
        <f t="shared" si="54"/>
        <v>33.098999999999997</v>
      </c>
      <c r="P788" s="377">
        <f>IFERROR(O788*VLOOKUP(G788,MODULY_CBA!$B$3:$F$23,5,0),)</f>
        <v>827.47499999999991</v>
      </c>
      <c r="Q788" s="478" t="str">
        <f>IFERROR(VLOOKUP(G788,MODULY_CBA!$B$3:$I$23,6,0),"")</f>
        <v>Inkrement 1</v>
      </c>
    </row>
    <row r="789" spans="1:17" ht="38.25">
      <c r="A789" s="401">
        <v>787</v>
      </c>
      <c r="B789" s="401" t="s">
        <v>475</v>
      </c>
      <c r="C789" s="532" t="s">
        <v>1247</v>
      </c>
      <c r="D789" s="532" t="s">
        <v>1248</v>
      </c>
      <c r="E789" s="389"/>
      <c r="F789" s="389" t="s">
        <v>8</v>
      </c>
      <c r="G789" s="389" t="s">
        <v>241</v>
      </c>
      <c r="H789" s="379">
        <v>2</v>
      </c>
      <c r="I789" s="379">
        <v>15</v>
      </c>
      <c r="J789" s="379">
        <f t="shared" si="52"/>
        <v>2</v>
      </c>
      <c r="K789" s="379">
        <f t="shared" si="53"/>
        <v>30</v>
      </c>
      <c r="L789" s="643">
        <f>IFERROR(IF(B789="funkcna poziadavka",VLOOKUP(G789,MODULY_CBA!$B$3:$E$23,4,0)*H789/SUMIFS($H$3:$H$199,$G$3:$G$199,G789,$B$3:$B$199,B789),),)</f>
        <v>0</v>
      </c>
      <c r="M789" s="379">
        <f>IFERROR(IF(B789="Funkcna poziadavka",VLOOKUP(G789,MODULY_CBA!$B$3:$E$23,3,0),),)</f>
        <v>0.93499999999999994</v>
      </c>
      <c r="N789" s="379">
        <f>IFERROR(IF(B789="funkcna poziadavka",VLOOKUP(G789,MODULY_CBA!$B$3:$E$23,2,0),),)</f>
        <v>1.18</v>
      </c>
      <c r="O789" s="378">
        <f t="shared" si="54"/>
        <v>33.098999999999997</v>
      </c>
      <c r="P789" s="377">
        <f>IFERROR(O789*VLOOKUP(G789,MODULY_CBA!$B$3:$F$23,5,0),)</f>
        <v>827.47499999999991</v>
      </c>
      <c r="Q789" s="478" t="str">
        <f>IFERROR(VLOOKUP(G789,MODULY_CBA!$B$3:$I$23,6,0),"")</f>
        <v>Inkrement 1</v>
      </c>
    </row>
    <row r="790" spans="1:17" ht="38.25">
      <c r="A790" s="401">
        <v>788</v>
      </c>
      <c r="B790" s="401" t="s">
        <v>475</v>
      </c>
      <c r="C790" s="532" t="s">
        <v>1247</v>
      </c>
      <c r="D790" s="532" t="s">
        <v>1249</v>
      </c>
      <c r="E790" s="389"/>
      <c r="F790" s="389" t="s">
        <v>8</v>
      </c>
      <c r="G790" s="389" t="s">
        <v>241</v>
      </c>
      <c r="H790" s="379">
        <v>2</v>
      </c>
      <c r="I790" s="379">
        <v>15</v>
      </c>
      <c r="J790" s="379">
        <f t="shared" si="52"/>
        <v>2</v>
      </c>
      <c r="K790" s="379">
        <f t="shared" si="53"/>
        <v>30</v>
      </c>
      <c r="L790" s="643">
        <f>IFERROR(IF(B790="funkcna poziadavka",VLOOKUP(G790,MODULY_CBA!$B$3:$E$23,4,0)*H790/SUMIFS($H$3:$H$199,$G$3:$G$199,G790,$B$3:$B$199,B790),),)</f>
        <v>0</v>
      </c>
      <c r="M790" s="379">
        <f>IFERROR(IF(B790="Funkcna poziadavka",VLOOKUP(G790,MODULY_CBA!$B$3:$E$23,3,0),),)</f>
        <v>0.93499999999999994</v>
      </c>
      <c r="N790" s="379">
        <f>IFERROR(IF(B790="funkcna poziadavka",VLOOKUP(G790,MODULY_CBA!$B$3:$E$23,2,0),),)</f>
        <v>1.18</v>
      </c>
      <c r="O790" s="378">
        <f t="shared" si="54"/>
        <v>33.098999999999997</v>
      </c>
      <c r="P790" s="377">
        <f>IFERROR(O790*VLOOKUP(G790,MODULY_CBA!$B$3:$F$23,5,0),)</f>
        <v>827.47499999999991</v>
      </c>
      <c r="Q790" s="478" t="str">
        <f>IFERROR(VLOOKUP(G790,MODULY_CBA!$B$3:$I$23,6,0),"")</f>
        <v>Inkrement 1</v>
      </c>
    </row>
    <row r="791" spans="1:17" ht="38.25">
      <c r="A791" s="401">
        <v>789</v>
      </c>
      <c r="B791" s="401" t="s">
        <v>475</v>
      </c>
      <c r="C791" s="532" t="s">
        <v>1247</v>
      </c>
      <c r="D791" s="532" t="s">
        <v>1250</v>
      </c>
      <c r="E791" s="389"/>
      <c r="F791" s="389" t="s">
        <v>8</v>
      </c>
      <c r="G791" s="389" t="s">
        <v>241</v>
      </c>
      <c r="H791" s="379">
        <v>2</v>
      </c>
      <c r="I791" s="379">
        <v>15</v>
      </c>
      <c r="J791" s="379">
        <f t="shared" si="52"/>
        <v>2</v>
      </c>
      <c r="K791" s="379">
        <f t="shared" si="53"/>
        <v>30</v>
      </c>
      <c r="L791" s="643">
        <f>IFERROR(IF(B791="funkcna poziadavka",VLOOKUP(G791,MODULY_CBA!$B$3:$E$23,4,0)*H791/SUMIFS($H$3:$H$199,$G$3:$G$199,G791,$B$3:$B$199,B791),),)</f>
        <v>0</v>
      </c>
      <c r="M791" s="379">
        <f>IFERROR(IF(B791="Funkcna poziadavka",VLOOKUP(G791,MODULY_CBA!$B$3:$E$23,3,0),),)</f>
        <v>0.93499999999999994</v>
      </c>
      <c r="N791" s="379">
        <f>IFERROR(IF(B791="funkcna poziadavka",VLOOKUP(G791,MODULY_CBA!$B$3:$E$23,2,0),),)</f>
        <v>1.18</v>
      </c>
      <c r="O791" s="378">
        <f t="shared" si="54"/>
        <v>33.098999999999997</v>
      </c>
      <c r="P791" s="377">
        <f>IFERROR(O791*VLOOKUP(G791,MODULY_CBA!$B$3:$F$23,5,0),)</f>
        <v>827.47499999999991</v>
      </c>
      <c r="Q791" s="478" t="str">
        <f>IFERROR(VLOOKUP(G791,MODULY_CBA!$B$3:$I$23,6,0),"")</f>
        <v>Inkrement 1</v>
      </c>
    </row>
    <row r="792" spans="1:17" ht="38.25">
      <c r="A792" s="401">
        <v>790</v>
      </c>
      <c r="B792" s="401" t="s">
        <v>475</v>
      </c>
      <c r="C792" s="532" t="s">
        <v>1247</v>
      </c>
      <c r="D792" s="532" t="s">
        <v>1251</v>
      </c>
      <c r="E792" s="389"/>
      <c r="F792" s="389" t="s">
        <v>8</v>
      </c>
      <c r="G792" s="389" t="s">
        <v>241</v>
      </c>
      <c r="H792" s="379">
        <v>2</v>
      </c>
      <c r="I792" s="379">
        <v>15</v>
      </c>
      <c r="J792" s="379">
        <f t="shared" si="52"/>
        <v>2</v>
      </c>
      <c r="K792" s="379">
        <f t="shared" si="53"/>
        <v>30</v>
      </c>
      <c r="L792" s="643">
        <f>IFERROR(IF(B792="funkcna poziadavka",VLOOKUP(G792,MODULY_CBA!$B$3:$E$23,4,0)*H792/SUMIFS($H$3:$H$199,$G$3:$G$199,G792,$B$3:$B$199,B792),),)</f>
        <v>0</v>
      </c>
      <c r="M792" s="379">
        <f>IFERROR(IF(B792="Funkcna poziadavka",VLOOKUP(G792,MODULY_CBA!$B$3:$E$23,3,0),),)</f>
        <v>0.93499999999999994</v>
      </c>
      <c r="N792" s="379">
        <f>IFERROR(IF(B792="funkcna poziadavka",VLOOKUP(G792,MODULY_CBA!$B$3:$E$23,2,0),),)</f>
        <v>1.18</v>
      </c>
      <c r="O792" s="378">
        <f t="shared" si="54"/>
        <v>33.098999999999997</v>
      </c>
      <c r="P792" s="377">
        <f>IFERROR(O792*VLOOKUP(G792,MODULY_CBA!$B$3:$F$23,5,0),)</f>
        <v>827.47499999999991</v>
      </c>
      <c r="Q792" s="478" t="str">
        <f>IFERROR(VLOOKUP(G792,MODULY_CBA!$B$3:$I$23,6,0),"")</f>
        <v>Inkrement 1</v>
      </c>
    </row>
    <row r="793" spans="1:17" ht="38.25">
      <c r="A793" s="401">
        <v>791</v>
      </c>
      <c r="B793" s="401" t="s">
        <v>475</v>
      </c>
      <c r="C793" s="532" t="s">
        <v>1247</v>
      </c>
      <c r="D793" s="532" t="s">
        <v>1252</v>
      </c>
      <c r="E793" s="389"/>
      <c r="F793" s="389" t="s">
        <v>8</v>
      </c>
      <c r="G793" s="389" t="s">
        <v>241</v>
      </c>
      <c r="H793" s="379">
        <v>2</v>
      </c>
      <c r="I793" s="379">
        <v>15</v>
      </c>
      <c r="J793" s="379">
        <f t="shared" si="52"/>
        <v>2</v>
      </c>
      <c r="K793" s="379">
        <f t="shared" si="53"/>
        <v>30</v>
      </c>
      <c r="L793" s="643">
        <f>IFERROR(IF(B793="funkcna poziadavka",VLOOKUP(G793,MODULY_CBA!$B$3:$E$23,4,0)*H793/SUMIFS($H$3:$H$199,$G$3:$G$199,G793,$B$3:$B$199,B793),),)</f>
        <v>0</v>
      </c>
      <c r="M793" s="379">
        <f>IFERROR(IF(B793="Funkcna poziadavka",VLOOKUP(G793,MODULY_CBA!$B$3:$E$23,3,0),),)</f>
        <v>0.93499999999999994</v>
      </c>
      <c r="N793" s="379">
        <f>IFERROR(IF(B793="funkcna poziadavka",VLOOKUP(G793,MODULY_CBA!$B$3:$E$23,2,0),),)</f>
        <v>1.18</v>
      </c>
      <c r="O793" s="378">
        <f t="shared" si="54"/>
        <v>33.098999999999997</v>
      </c>
      <c r="P793" s="377">
        <f>IFERROR(O793*VLOOKUP(G793,MODULY_CBA!$B$3:$F$23,5,0),)</f>
        <v>827.47499999999991</v>
      </c>
      <c r="Q793" s="478" t="str">
        <f>IFERROR(VLOOKUP(G793,MODULY_CBA!$B$3:$I$23,6,0),"")</f>
        <v>Inkrement 1</v>
      </c>
    </row>
    <row r="794" spans="1:17" ht="25.5">
      <c r="A794" s="401">
        <v>792</v>
      </c>
      <c r="B794" s="401" t="s">
        <v>475</v>
      </c>
      <c r="C794" s="532" t="s">
        <v>1247</v>
      </c>
      <c r="D794" s="532" t="s">
        <v>1253</v>
      </c>
      <c r="E794" s="389"/>
      <c r="F794" s="389" t="s">
        <v>8</v>
      </c>
      <c r="G794" s="389" t="s">
        <v>241</v>
      </c>
      <c r="H794" s="379">
        <v>2</v>
      </c>
      <c r="I794" s="379">
        <v>15</v>
      </c>
      <c r="J794" s="379">
        <f t="shared" si="52"/>
        <v>2</v>
      </c>
      <c r="K794" s="379">
        <f t="shared" si="53"/>
        <v>30</v>
      </c>
      <c r="L794" s="643">
        <f>IFERROR(IF(B794="funkcna poziadavka",VLOOKUP(G794,MODULY_CBA!$B$3:$E$23,4,0)*H794/SUMIFS($H$3:$H$199,$G$3:$G$199,G794,$B$3:$B$199,B794),),)</f>
        <v>0</v>
      </c>
      <c r="M794" s="379">
        <f>IFERROR(IF(B794="Funkcna poziadavka",VLOOKUP(G794,MODULY_CBA!$B$3:$E$23,3,0),),)</f>
        <v>0.93499999999999994</v>
      </c>
      <c r="N794" s="379">
        <f>IFERROR(IF(B794="funkcna poziadavka",VLOOKUP(G794,MODULY_CBA!$B$3:$E$23,2,0),),)</f>
        <v>1.18</v>
      </c>
      <c r="O794" s="378">
        <f t="shared" si="54"/>
        <v>33.098999999999997</v>
      </c>
      <c r="P794" s="377">
        <f>IFERROR(O794*VLOOKUP(G794,MODULY_CBA!$B$3:$F$23,5,0),)</f>
        <v>827.47499999999991</v>
      </c>
      <c r="Q794" s="478" t="str">
        <f>IFERROR(VLOOKUP(G794,MODULY_CBA!$B$3:$I$23,6,0),"")</f>
        <v>Inkrement 1</v>
      </c>
    </row>
    <row r="795" spans="1:17" ht="25.5">
      <c r="A795" s="401">
        <v>793</v>
      </c>
      <c r="B795" s="401" t="s">
        <v>475</v>
      </c>
      <c r="C795" s="532" t="s">
        <v>1247</v>
      </c>
      <c r="D795" s="532" t="s">
        <v>1254</v>
      </c>
      <c r="E795" s="389"/>
      <c r="F795" s="389" t="s">
        <v>8</v>
      </c>
      <c r="G795" s="389" t="s">
        <v>241</v>
      </c>
      <c r="H795" s="379">
        <v>2</v>
      </c>
      <c r="I795" s="379">
        <v>15</v>
      </c>
      <c r="J795" s="379">
        <f t="shared" si="52"/>
        <v>2</v>
      </c>
      <c r="K795" s="379">
        <f t="shared" si="53"/>
        <v>30</v>
      </c>
      <c r="L795" s="643">
        <f>IFERROR(IF(B795="funkcna poziadavka",VLOOKUP(G795,MODULY_CBA!$B$3:$E$23,4,0)*H795/SUMIFS($H$3:$H$199,$G$3:$G$199,G795,$B$3:$B$199,B795),),)</f>
        <v>0</v>
      </c>
      <c r="M795" s="379">
        <f>IFERROR(IF(B795="Funkcna poziadavka",VLOOKUP(G795,MODULY_CBA!$B$3:$E$23,3,0),),)</f>
        <v>0.93499999999999994</v>
      </c>
      <c r="N795" s="379">
        <f>IFERROR(IF(B795="funkcna poziadavka",VLOOKUP(G795,MODULY_CBA!$B$3:$E$23,2,0),),)</f>
        <v>1.18</v>
      </c>
      <c r="O795" s="378">
        <f t="shared" si="54"/>
        <v>33.098999999999997</v>
      </c>
      <c r="P795" s="377">
        <f>IFERROR(O795*VLOOKUP(G795,MODULY_CBA!$B$3:$F$23,5,0),)</f>
        <v>827.47499999999991</v>
      </c>
      <c r="Q795" s="478" t="str">
        <f>IFERROR(VLOOKUP(G795,MODULY_CBA!$B$3:$I$23,6,0),"")</f>
        <v>Inkrement 1</v>
      </c>
    </row>
    <row r="796" spans="1:17" ht="25.5">
      <c r="A796" s="401">
        <v>794</v>
      </c>
      <c r="B796" s="401" t="s">
        <v>475</v>
      </c>
      <c r="C796" s="532" t="s">
        <v>1247</v>
      </c>
      <c r="D796" s="532" t="s">
        <v>1255</v>
      </c>
      <c r="E796" s="389"/>
      <c r="F796" s="389" t="s">
        <v>8</v>
      </c>
      <c r="G796" s="389" t="s">
        <v>241</v>
      </c>
      <c r="H796" s="379">
        <v>2</v>
      </c>
      <c r="I796" s="379">
        <v>15</v>
      </c>
      <c r="J796" s="379">
        <f t="shared" si="52"/>
        <v>2</v>
      </c>
      <c r="K796" s="379">
        <f t="shared" si="53"/>
        <v>30</v>
      </c>
      <c r="L796" s="643">
        <f>IFERROR(IF(B796="funkcna poziadavka",VLOOKUP(G796,MODULY_CBA!$B$3:$E$23,4,0)*H796/SUMIFS($H$3:$H$199,$G$3:$G$199,G796,$B$3:$B$199,B796),),)</f>
        <v>0</v>
      </c>
      <c r="M796" s="379">
        <f>IFERROR(IF(B796="Funkcna poziadavka",VLOOKUP(G796,MODULY_CBA!$B$3:$E$23,3,0),),)</f>
        <v>0.93499999999999994</v>
      </c>
      <c r="N796" s="379">
        <f>IFERROR(IF(B796="funkcna poziadavka",VLOOKUP(G796,MODULY_CBA!$B$3:$E$23,2,0),),)</f>
        <v>1.18</v>
      </c>
      <c r="O796" s="378">
        <f t="shared" si="54"/>
        <v>33.098999999999997</v>
      </c>
      <c r="P796" s="377">
        <f>IFERROR(O796*VLOOKUP(G796,MODULY_CBA!$B$3:$F$23,5,0),)</f>
        <v>827.47499999999991</v>
      </c>
      <c r="Q796" s="478" t="str">
        <f>IFERROR(VLOOKUP(G796,MODULY_CBA!$B$3:$I$23,6,0),"")</f>
        <v>Inkrement 1</v>
      </c>
    </row>
    <row r="797" spans="1:17" ht="38.25">
      <c r="A797" s="401">
        <v>795</v>
      </c>
      <c r="B797" s="401" t="s">
        <v>475</v>
      </c>
      <c r="C797" s="532" t="s">
        <v>1247</v>
      </c>
      <c r="D797" s="532" t="s">
        <v>1256</v>
      </c>
      <c r="E797" s="389"/>
      <c r="F797" s="389" t="s">
        <v>8</v>
      </c>
      <c r="G797" s="389" t="s">
        <v>241</v>
      </c>
      <c r="H797" s="379">
        <v>2</v>
      </c>
      <c r="I797" s="379">
        <v>15</v>
      </c>
      <c r="J797" s="379">
        <f t="shared" si="52"/>
        <v>2</v>
      </c>
      <c r="K797" s="379">
        <f t="shared" si="53"/>
        <v>30</v>
      </c>
      <c r="L797" s="643">
        <f>IFERROR(IF(B797="funkcna poziadavka",VLOOKUP(G797,MODULY_CBA!$B$3:$E$23,4,0)*H797/SUMIFS($H$3:$H$199,$G$3:$G$199,G797,$B$3:$B$199,B797),),)</f>
        <v>0</v>
      </c>
      <c r="M797" s="379">
        <f>IFERROR(IF(B797="Funkcna poziadavka",VLOOKUP(G797,MODULY_CBA!$B$3:$E$23,3,0),),)</f>
        <v>0.93499999999999994</v>
      </c>
      <c r="N797" s="379">
        <f>IFERROR(IF(B797="funkcna poziadavka",VLOOKUP(G797,MODULY_CBA!$B$3:$E$23,2,0),),)</f>
        <v>1.18</v>
      </c>
      <c r="O797" s="378">
        <f t="shared" si="54"/>
        <v>33.098999999999997</v>
      </c>
      <c r="P797" s="377">
        <f>IFERROR(O797*VLOOKUP(G797,MODULY_CBA!$B$3:$F$23,5,0),)</f>
        <v>827.47499999999991</v>
      </c>
      <c r="Q797" s="478" t="str">
        <f>IFERROR(VLOOKUP(G797,MODULY_CBA!$B$3:$I$23,6,0),"")</f>
        <v>Inkrement 1</v>
      </c>
    </row>
    <row r="798" spans="1:17" ht="38.25">
      <c r="A798" s="401">
        <v>796</v>
      </c>
      <c r="B798" s="401" t="s">
        <v>475</v>
      </c>
      <c r="C798" s="532" t="s">
        <v>1247</v>
      </c>
      <c r="D798" s="532" t="s">
        <v>1257</v>
      </c>
      <c r="E798" s="389"/>
      <c r="F798" s="389" t="s">
        <v>8</v>
      </c>
      <c r="G798" s="389" t="s">
        <v>241</v>
      </c>
      <c r="H798" s="379">
        <v>2</v>
      </c>
      <c r="I798" s="379">
        <v>15</v>
      </c>
      <c r="J798" s="379">
        <f t="shared" si="52"/>
        <v>2</v>
      </c>
      <c r="K798" s="379">
        <f t="shared" si="53"/>
        <v>30</v>
      </c>
      <c r="L798" s="643">
        <f>IFERROR(IF(B798="funkcna poziadavka",VLOOKUP(G798,MODULY_CBA!$B$3:$E$23,4,0)*H798/SUMIFS($H$3:$H$199,$G$3:$G$199,G798,$B$3:$B$199,B798),),)</f>
        <v>0</v>
      </c>
      <c r="M798" s="379">
        <f>IFERROR(IF(B798="Funkcna poziadavka",VLOOKUP(G798,MODULY_CBA!$B$3:$E$23,3,0),),)</f>
        <v>0.93499999999999994</v>
      </c>
      <c r="N798" s="379">
        <f>IFERROR(IF(B798="funkcna poziadavka",VLOOKUP(G798,MODULY_CBA!$B$3:$E$23,2,0),),)</f>
        <v>1.18</v>
      </c>
      <c r="O798" s="378">
        <f t="shared" si="54"/>
        <v>33.098999999999997</v>
      </c>
      <c r="P798" s="377">
        <f>IFERROR(O798*VLOOKUP(G798,MODULY_CBA!$B$3:$F$23,5,0),)</f>
        <v>827.47499999999991</v>
      </c>
      <c r="Q798" s="478" t="str">
        <f>IFERROR(VLOOKUP(G798,MODULY_CBA!$B$3:$I$23,6,0),"")</f>
        <v>Inkrement 1</v>
      </c>
    </row>
    <row r="799" spans="1:17" ht="25.5">
      <c r="A799" s="401">
        <v>797</v>
      </c>
      <c r="B799" s="401" t="s">
        <v>475</v>
      </c>
      <c r="C799" s="532" t="s">
        <v>1247</v>
      </c>
      <c r="D799" s="532" t="s">
        <v>1258</v>
      </c>
      <c r="E799" s="389"/>
      <c r="F799" s="389" t="s">
        <v>8</v>
      </c>
      <c r="G799" s="389" t="s">
        <v>241</v>
      </c>
      <c r="H799" s="379">
        <v>2</v>
      </c>
      <c r="I799" s="379">
        <v>15</v>
      </c>
      <c r="J799" s="379">
        <f t="shared" si="52"/>
        <v>2</v>
      </c>
      <c r="K799" s="379">
        <f t="shared" si="53"/>
        <v>30</v>
      </c>
      <c r="L799" s="643">
        <f>IFERROR(IF(B799="funkcna poziadavka",VLOOKUP(G799,MODULY_CBA!$B$3:$E$23,4,0)*H799/SUMIFS($H$3:$H$199,$G$3:$G$199,G799,$B$3:$B$199,B799),),)</f>
        <v>0</v>
      </c>
      <c r="M799" s="379">
        <f>IFERROR(IF(B799="Funkcna poziadavka",VLOOKUP(G799,MODULY_CBA!$B$3:$E$23,3,0),),)</f>
        <v>0.93499999999999994</v>
      </c>
      <c r="N799" s="379">
        <f>IFERROR(IF(B799="funkcna poziadavka",VLOOKUP(G799,MODULY_CBA!$B$3:$E$23,2,0),),)</f>
        <v>1.18</v>
      </c>
      <c r="O799" s="378">
        <f t="shared" si="54"/>
        <v>33.098999999999997</v>
      </c>
      <c r="P799" s="377">
        <f>IFERROR(O799*VLOOKUP(G799,MODULY_CBA!$B$3:$F$23,5,0),)</f>
        <v>827.47499999999991</v>
      </c>
      <c r="Q799" s="478" t="str">
        <f>IFERROR(VLOOKUP(G799,MODULY_CBA!$B$3:$I$23,6,0),"")</f>
        <v>Inkrement 1</v>
      </c>
    </row>
    <row r="800" spans="1:17" ht="25.5">
      <c r="A800" s="401">
        <v>798</v>
      </c>
      <c r="B800" s="401" t="s">
        <v>475</v>
      </c>
      <c r="C800" s="532" t="s">
        <v>1247</v>
      </c>
      <c r="D800" s="532" t="s">
        <v>1259</v>
      </c>
      <c r="E800" s="389"/>
      <c r="F800" s="389" t="s">
        <v>8</v>
      </c>
      <c r="G800" s="389" t="s">
        <v>241</v>
      </c>
      <c r="H800" s="379">
        <v>2</v>
      </c>
      <c r="I800" s="379">
        <v>15</v>
      </c>
      <c r="J800" s="379">
        <f t="shared" si="52"/>
        <v>2</v>
      </c>
      <c r="K800" s="379">
        <f t="shared" si="53"/>
        <v>30</v>
      </c>
      <c r="L800" s="643">
        <f>IFERROR(IF(B800="funkcna poziadavka",VLOOKUP(G800,MODULY_CBA!$B$3:$E$23,4,0)*H800/SUMIFS($H$3:$H$199,$G$3:$G$199,G800,$B$3:$B$199,B800),),)</f>
        <v>0</v>
      </c>
      <c r="M800" s="379">
        <f>IFERROR(IF(B800="Funkcna poziadavka",VLOOKUP(G800,MODULY_CBA!$B$3:$E$23,3,0),),)</f>
        <v>0.93499999999999994</v>
      </c>
      <c r="N800" s="379">
        <f>IFERROR(IF(B800="funkcna poziadavka",VLOOKUP(G800,MODULY_CBA!$B$3:$E$23,2,0),),)</f>
        <v>1.18</v>
      </c>
      <c r="O800" s="378">
        <f t="shared" si="54"/>
        <v>33.098999999999997</v>
      </c>
      <c r="P800" s="377">
        <f>IFERROR(O800*VLOOKUP(G800,MODULY_CBA!$B$3:$F$23,5,0),)</f>
        <v>827.47499999999991</v>
      </c>
      <c r="Q800" s="478" t="str">
        <f>IFERROR(VLOOKUP(G800,MODULY_CBA!$B$3:$I$23,6,0),"")</f>
        <v>Inkrement 1</v>
      </c>
    </row>
    <row r="801" spans="1:17" ht="25.5">
      <c r="A801" s="401">
        <v>799</v>
      </c>
      <c r="B801" s="401" t="s">
        <v>475</v>
      </c>
      <c r="C801" s="532" t="s">
        <v>1247</v>
      </c>
      <c r="D801" s="532" t="s">
        <v>1260</v>
      </c>
      <c r="E801" s="389"/>
      <c r="F801" s="389" t="s">
        <v>8</v>
      </c>
      <c r="G801" s="389" t="s">
        <v>241</v>
      </c>
      <c r="H801" s="379">
        <v>2</v>
      </c>
      <c r="I801" s="379">
        <v>15</v>
      </c>
      <c r="J801" s="379">
        <f t="shared" si="52"/>
        <v>2</v>
      </c>
      <c r="K801" s="379">
        <f t="shared" si="53"/>
        <v>30</v>
      </c>
      <c r="L801" s="643">
        <f>IFERROR(IF(B801="funkcna poziadavka",VLOOKUP(G801,MODULY_CBA!$B$3:$E$23,4,0)*H801/SUMIFS($H$3:$H$199,$G$3:$G$199,G801,$B$3:$B$199,B801),),)</f>
        <v>0</v>
      </c>
      <c r="M801" s="379">
        <f>IFERROR(IF(B801="Funkcna poziadavka",VLOOKUP(G801,MODULY_CBA!$B$3:$E$23,3,0),),)</f>
        <v>0.93499999999999994</v>
      </c>
      <c r="N801" s="379">
        <f>IFERROR(IF(B801="funkcna poziadavka",VLOOKUP(G801,MODULY_CBA!$B$3:$E$23,2,0),),)</f>
        <v>1.18</v>
      </c>
      <c r="O801" s="378">
        <f t="shared" si="54"/>
        <v>33.098999999999997</v>
      </c>
      <c r="P801" s="377">
        <f>IFERROR(O801*VLOOKUP(G801,MODULY_CBA!$B$3:$F$23,5,0),)</f>
        <v>827.47499999999991</v>
      </c>
      <c r="Q801" s="478" t="str">
        <f>IFERROR(VLOOKUP(G801,MODULY_CBA!$B$3:$I$23,6,0),"")</f>
        <v>Inkrement 1</v>
      </c>
    </row>
    <row r="802" spans="1:17" ht="25.5">
      <c r="A802" s="401">
        <v>800</v>
      </c>
      <c r="B802" s="401" t="s">
        <v>475</v>
      </c>
      <c r="C802" s="532" t="s">
        <v>1247</v>
      </c>
      <c r="D802" s="532" t="s">
        <v>1261</v>
      </c>
      <c r="E802" s="389"/>
      <c r="F802" s="389" t="s">
        <v>8</v>
      </c>
      <c r="G802" s="389" t="s">
        <v>241</v>
      </c>
      <c r="H802" s="379">
        <v>2</v>
      </c>
      <c r="I802" s="379">
        <v>15</v>
      </c>
      <c r="J802" s="379">
        <f t="shared" si="52"/>
        <v>2</v>
      </c>
      <c r="K802" s="379">
        <f t="shared" si="53"/>
        <v>30</v>
      </c>
      <c r="L802" s="643">
        <f>IFERROR(IF(B802="funkcna poziadavka",VLOOKUP(G802,MODULY_CBA!$B$3:$E$23,4,0)*H802/SUMIFS($H$3:$H$199,$G$3:$G$199,G802,$B$3:$B$199,B802),),)</f>
        <v>0</v>
      </c>
      <c r="M802" s="379">
        <f>IFERROR(IF(B802="Funkcna poziadavka",VLOOKUP(G802,MODULY_CBA!$B$3:$E$23,3,0),),)</f>
        <v>0.93499999999999994</v>
      </c>
      <c r="N802" s="379">
        <f>IFERROR(IF(B802="funkcna poziadavka",VLOOKUP(G802,MODULY_CBA!$B$3:$E$23,2,0),),)</f>
        <v>1.18</v>
      </c>
      <c r="O802" s="378">
        <f t="shared" si="54"/>
        <v>33.098999999999997</v>
      </c>
      <c r="P802" s="377">
        <f>IFERROR(O802*VLOOKUP(G802,MODULY_CBA!$B$3:$F$23,5,0),)</f>
        <v>827.47499999999991</v>
      </c>
      <c r="Q802" s="478" t="str">
        <f>IFERROR(VLOOKUP(G802,MODULY_CBA!$B$3:$I$23,6,0),"")</f>
        <v>Inkrement 1</v>
      </c>
    </row>
    <row r="803" spans="1:17" ht="25.5">
      <c r="A803" s="401">
        <v>801</v>
      </c>
      <c r="B803" s="401" t="s">
        <v>475</v>
      </c>
      <c r="C803" s="532" t="s">
        <v>1247</v>
      </c>
      <c r="D803" s="532" t="s">
        <v>1262</v>
      </c>
      <c r="E803" s="389"/>
      <c r="F803" s="389" t="s">
        <v>8</v>
      </c>
      <c r="G803" s="389" t="s">
        <v>241</v>
      </c>
      <c r="H803" s="379">
        <v>2</v>
      </c>
      <c r="I803" s="379">
        <v>15</v>
      </c>
      <c r="J803" s="379">
        <f t="shared" si="52"/>
        <v>2</v>
      </c>
      <c r="K803" s="379">
        <f t="shared" si="53"/>
        <v>30</v>
      </c>
      <c r="L803" s="643">
        <f>IFERROR(IF(B803="funkcna poziadavka",VLOOKUP(G803,MODULY_CBA!$B$3:$E$23,4,0)*H803/SUMIFS($H$3:$H$199,$G$3:$G$199,G803,$B$3:$B$199,B803),),)</f>
        <v>0</v>
      </c>
      <c r="M803" s="379">
        <f>IFERROR(IF(B803="Funkcna poziadavka",VLOOKUP(G803,MODULY_CBA!$B$3:$E$23,3,0),),)</f>
        <v>0.93499999999999994</v>
      </c>
      <c r="N803" s="379">
        <f>IFERROR(IF(B803="funkcna poziadavka",VLOOKUP(G803,MODULY_CBA!$B$3:$E$23,2,0),),)</f>
        <v>1.18</v>
      </c>
      <c r="O803" s="378">
        <f t="shared" si="54"/>
        <v>33.098999999999997</v>
      </c>
      <c r="P803" s="377">
        <f>IFERROR(O803*VLOOKUP(G803,MODULY_CBA!$B$3:$F$23,5,0),)</f>
        <v>827.47499999999991</v>
      </c>
      <c r="Q803" s="478" t="str">
        <f>IFERROR(VLOOKUP(G803,MODULY_CBA!$B$3:$I$23,6,0),"")</f>
        <v>Inkrement 1</v>
      </c>
    </row>
    <row r="804" spans="1:17" ht="25.5">
      <c r="A804" s="401">
        <v>802</v>
      </c>
      <c r="B804" s="401" t="s">
        <v>475</v>
      </c>
      <c r="C804" s="532" t="s">
        <v>1247</v>
      </c>
      <c r="D804" s="532" t="s">
        <v>1263</v>
      </c>
      <c r="E804" s="389"/>
      <c r="F804" s="389" t="s">
        <v>8</v>
      </c>
      <c r="G804" s="389" t="s">
        <v>241</v>
      </c>
      <c r="H804" s="379">
        <v>2</v>
      </c>
      <c r="I804" s="379">
        <v>15</v>
      </c>
      <c r="J804" s="379">
        <f t="shared" si="52"/>
        <v>2</v>
      </c>
      <c r="K804" s="379">
        <f t="shared" si="53"/>
        <v>30</v>
      </c>
      <c r="L804" s="643">
        <f>IFERROR(IF(B804="funkcna poziadavka",VLOOKUP(G804,MODULY_CBA!$B$3:$E$23,4,0)*H804/SUMIFS($H$3:$H$199,$G$3:$G$199,G804,$B$3:$B$199,B804),),)</f>
        <v>0</v>
      </c>
      <c r="M804" s="379">
        <f>IFERROR(IF(B804="Funkcna poziadavka",VLOOKUP(G804,MODULY_CBA!$B$3:$E$23,3,0),),)</f>
        <v>0.93499999999999994</v>
      </c>
      <c r="N804" s="379">
        <f>IFERROR(IF(B804="funkcna poziadavka",VLOOKUP(G804,MODULY_CBA!$B$3:$E$23,2,0),),)</f>
        <v>1.18</v>
      </c>
      <c r="O804" s="378">
        <f t="shared" si="54"/>
        <v>33.098999999999997</v>
      </c>
      <c r="P804" s="377">
        <f>IFERROR(O804*VLOOKUP(G804,MODULY_CBA!$B$3:$F$23,5,0),)</f>
        <v>827.47499999999991</v>
      </c>
      <c r="Q804" s="478" t="str">
        <f>IFERROR(VLOOKUP(G804,MODULY_CBA!$B$3:$I$23,6,0),"")</f>
        <v>Inkrement 1</v>
      </c>
    </row>
    <row r="805" spans="1:17" ht="25.5">
      <c r="A805" s="401">
        <v>803</v>
      </c>
      <c r="B805" s="401" t="s">
        <v>475</v>
      </c>
      <c r="C805" s="532" t="s">
        <v>1247</v>
      </c>
      <c r="D805" s="532" t="s">
        <v>1264</v>
      </c>
      <c r="E805" s="389"/>
      <c r="F805" s="389" t="s">
        <v>8</v>
      </c>
      <c r="G805" s="389" t="s">
        <v>241</v>
      </c>
      <c r="H805" s="379">
        <v>2</v>
      </c>
      <c r="I805" s="379">
        <v>15</v>
      </c>
      <c r="J805" s="379">
        <f t="shared" si="52"/>
        <v>2</v>
      </c>
      <c r="K805" s="379">
        <f t="shared" si="53"/>
        <v>30</v>
      </c>
      <c r="L805" s="643">
        <f>IFERROR(IF(B805="funkcna poziadavka",VLOOKUP(G805,MODULY_CBA!$B$3:$E$23,4,0)*H805/SUMIFS($H$3:$H$199,$G$3:$G$199,G805,$B$3:$B$199,B805),),)</f>
        <v>0</v>
      </c>
      <c r="M805" s="379">
        <f>IFERROR(IF(B805="Funkcna poziadavka",VLOOKUP(G805,MODULY_CBA!$B$3:$E$23,3,0),),)</f>
        <v>0.93499999999999994</v>
      </c>
      <c r="N805" s="379">
        <f>IFERROR(IF(B805="funkcna poziadavka",VLOOKUP(G805,MODULY_CBA!$B$3:$E$23,2,0),),)</f>
        <v>1.18</v>
      </c>
      <c r="O805" s="378">
        <f t="shared" si="54"/>
        <v>33.098999999999997</v>
      </c>
      <c r="P805" s="377">
        <f>IFERROR(O805*VLOOKUP(G805,MODULY_CBA!$B$3:$F$23,5,0),)</f>
        <v>827.47499999999991</v>
      </c>
      <c r="Q805" s="478" t="str">
        <f>IFERROR(VLOOKUP(G805,MODULY_CBA!$B$3:$I$23,6,0),"")</f>
        <v>Inkrement 1</v>
      </c>
    </row>
    <row r="806" spans="1:17" ht="25.5">
      <c r="A806" s="401">
        <v>804</v>
      </c>
      <c r="B806" s="401" t="s">
        <v>475</v>
      </c>
      <c r="C806" s="532" t="s">
        <v>1265</v>
      </c>
      <c r="D806" s="532" t="s">
        <v>1266</v>
      </c>
      <c r="E806" s="389"/>
      <c r="F806" s="389" t="s">
        <v>8</v>
      </c>
      <c r="G806" s="389" t="s">
        <v>241</v>
      </c>
      <c r="H806" s="379">
        <v>2</v>
      </c>
      <c r="I806" s="379">
        <v>15</v>
      </c>
      <c r="J806" s="379">
        <f t="shared" si="52"/>
        <v>2</v>
      </c>
      <c r="K806" s="379">
        <f t="shared" si="53"/>
        <v>30</v>
      </c>
      <c r="L806" s="643">
        <f>IFERROR(IF(B806="funkcna poziadavka",VLOOKUP(G806,MODULY_CBA!$B$3:$E$23,4,0)*H806/SUMIFS($H$3:$H$199,$G$3:$G$199,G806,$B$3:$B$199,B806),),)</f>
        <v>0</v>
      </c>
      <c r="M806" s="379">
        <f>IFERROR(IF(B806="Funkcna poziadavka",VLOOKUP(G806,MODULY_CBA!$B$3:$E$23,3,0),),)</f>
        <v>0.93499999999999994</v>
      </c>
      <c r="N806" s="379">
        <f>IFERROR(IF(B806="funkcna poziadavka",VLOOKUP(G806,MODULY_CBA!$B$3:$E$23,2,0),),)</f>
        <v>1.18</v>
      </c>
      <c r="O806" s="378">
        <f t="shared" si="54"/>
        <v>33.098999999999997</v>
      </c>
      <c r="P806" s="377">
        <f>IFERROR(O806*VLOOKUP(G806,MODULY_CBA!$B$3:$F$23,5,0),)</f>
        <v>827.47499999999991</v>
      </c>
      <c r="Q806" s="478" t="str">
        <f>IFERROR(VLOOKUP(G806,MODULY_CBA!$B$3:$I$23,6,0),"")</f>
        <v>Inkrement 1</v>
      </c>
    </row>
    <row r="807" spans="1:17" ht="25.5">
      <c r="A807" s="401">
        <v>805</v>
      </c>
      <c r="B807" s="401" t="s">
        <v>475</v>
      </c>
      <c r="C807" s="532" t="s">
        <v>1265</v>
      </c>
      <c r="D807" s="532" t="s">
        <v>1267</v>
      </c>
      <c r="E807" s="389"/>
      <c r="F807" s="389" t="s">
        <v>8</v>
      </c>
      <c r="G807" s="389" t="s">
        <v>241</v>
      </c>
      <c r="H807" s="379">
        <v>2</v>
      </c>
      <c r="I807" s="379">
        <v>15</v>
      </c>
      <c r="J807" s="379">
        <f t="shared" si="52"/>
        <v>2</v>
      </c>
      <c r="K807" s="379">
        <f t="shared" si="53"/>
        <v>30</v>
      </c>
      <c r="L807" s="643">
        <f>IFERROR(IF(B807="funkcna poziadavka",VLOOKUP(G807,MODULY_CBA!$B$3:$E$23,4,0)*H807/SUMIFS($H$3:$H$199,$G$3:$G$199,G807,$B$3:$B$199,B807),),)</f>
        <v>0</v>
      </c>
      <c r="M807" s="379">
        <f>IFERROR(IF(B807="Funkcna poziadavka",VLOOKUP(G807,MODULY_CBA!$B$3:$E$23,3,0),),)</f>
        <v>0.93499999999999994</v>
      </c>
      <c r="N807" s="379">
        <f>IFERROR(IF(B807="funkcna poziadavka",VLOOKUP(G807,MODULY_CBA!$B$3:$E$23,2,0),),)</f>
        <v>1.18</v>
      </c>
      <c r="O807" s="378">
        <f t="shared" si="54"/>
        <v>33.098999999999997</v>
      </c>
      <c r="P807" s="377">
        <f>IFERROR(O807*VLOOKUP(G807,MODULY_CBA!$B$3:$F$23,5,0),)</f>
        <v>827.47499999999991</v>
      </c>
      <c r="Q807" s="478" t="str">
        <f>IFERROR(VLOOKUP(G807,MODULY_CBA!$B$3:$I$23,6,0),"")</f>
        <v>Inkrement 1</v>
      </c>
    </row>
    <row r="808" spans="1:17" ht="25.5">
      <c r="A808" s="401">
        <v>806</v>
      </c>
      <c r="B808" s="401" t="s">
        <v>475</v>
      </c>
      <c r="C808" s="532" t="s">
        <v>1265</v>
      </c>
      <c r="D808" s="532" t="s">
        <v>1268</v>
      </c>
      <c r="E808" s="389"/>
      <c r="F808" s="389" t="s">
        <v>8</v>
      </c>
      <c r="G808" s="389" t="s">
        <v>241</v>
      </c>
      <c r="H808" s="379">
        <v>2</v>
      </c>
      <c r="I808" s="379">
        <v>15</v>
      </c>
      <c r="J808" s="379">
        <f t="shared" si="52"/>
        <v>2</v>
      </c>
      <c r="K808" s="379">
        <f t="shared" si="53"/>
        <v>30</v>
      </c>
      <c r="L808" s="643">
        <f>IFERROR(IF(B808="funkcna poziadavka",VLOOKUP(G808,MODULY_CBA!$B$3:$E$23,4,0)*H808/SUMIFS($H$3:$H$199,$G$3:$G$199,G808,$B$3:$B$199,B808),),)</f>
        <v>0</v>
      </c>
      <c r="M808" s="379">
        <f>IFERROR(IF(B808="Funkcna poziadavka",VLOOKUP(G808,MODULY_CBA!$B$3:$E$23,3,0),),)</f>
        <v>0.93499999999999994</v>
      </c>
      <c r="N808" s="379">
        <f>IFERROR(IF(B808="funkcna poziadavka",VLOOKUP(G808,MODULY_CBA!$B$3:$E$23,2,0),),)</f>
        <v>1.18</v>
      </c>
      <c r="O808" s="378">
        <f t="shared" si="54"/>
        <v>33.098999999999997</v>
      </c>
      <c r="P808" s="377">
        <f>IFERROR(O808*VLOOKUP(G808,MODULY_CBA!$B$3:$F$23,5,0),)</f>
        <v>827.47499999999991</v>
      </c>
      <c r="Q808" s="478" t="str">
        <f>IFERROR(VLOOKUP(G808,MODULY_CBA!$B$3:$I$23,6,0),"")</f>
        <v>Inkrement 1</v>
      </c>
    </row>
    <row r="809" spans="1:17" ht="25.5">
      <c r="A809" s="401">
        <v>807</v>
      </c>
      <c r="B809" s="401" t="s">
        <v>475</v>
      </c>
      <c r="C809" s="532" t="s">
        <v>1265</v>
      </c>
      <c r="D809" s="532" t="s">
        <v>1269</v>
      </c>
      <c r="E809" s="389"/>
      <c r="F809" s="389" t="s">
        <v>8</v>
      </c>
      <c r="G809" s="389" t="s">
        <v>241</v>
      </c>
      <c r="H809" s="379">
        <v>2</v>
      </c>
      <c r="I809" s="379">
        <v>15</v>
      </c>
      <c r="J809" s="379">
        <f t="shared" si="52"/>
        <v>2</v>
      </c>
      <c r="K809" s="379">
        <f t="shared" si="53"/>
        <v>30</v>
      </c>
      <c r="L809" s="643">
        <f>IFERROR(IF(B809="funkcna poziadavka",VLOOKUP(G809,MODULY_CBA!$B$3:$E$23,4,0)*H809/SUMIFS($H$3:$H$199,$G$3:$G$199,G809,$B$3:$B$199,B809),),)</f>
        <v>0</v>
      </c>
      <c r="M809" s="379">
        <f>IFERROR(IF(B809="Funkcna poziadavka",VLOOKUP(G809,MODULY_CBA!$B$3:$E$23,3,0),),)</f>
        <v>0.93499999999999994</v>
      </c>
      <c r="N809" s="379">
        <f>IFERROR(IF(B809="funkcna poziadavka",VLOOKUP(G809,MODULY_CBA!$B$3:$E$23,2,0),),)</f>
        <v>1.18</v>
      </c>
      <c r="O809" s="378">
        <f t="shared" si="54"/>
        <v>33.098999999999997</v>
      </c>
      <c r="P809" s="377">
        <f>IFERROR(O809*VLOOKUP(G809,MODULY_CBA!$B$3:$F$23,5,0),)</f>
        <v>827.47499999999991</v>
      </c>
      <c r="Q809" s="478" t="str">
        <f>IFERROR(VLOOKUP(G809,MODULY_CBA!$B$3:$I$23,6,0),"")</f>
        <v>Inkrement 1</v>
      </c>
    </row>
    <row r="810" spans="1:17" ht="25.5">
      <c r="A810" s="401">
        <v>808</v>
      </c>
      <c r="B810" s="401" t="s">
        <v>475</v>
      </c>
      <c r="C810" s="532" t="s">
        <v>1265</v>
      </c>
      <c r="D810" s="532" t="s">
        <v>1270</v>
      </c>
      <c r="E810" s="389"/>
      <c r="F810" s="389" t="s">
        <v>8</v>
      </c>
      <c r="G810" s="389" t="s">
        <v>241</v>
      </c>
      <c r="H810" s="379">
        <v>2</v>
      </c>
      <c r="I810" s="379">
        <v>15</v>
      </c>
      <c r="J810" s="379">
        <f t="shared" si="52"/>
        <v>2</v>
      </c>
      <c r="K810" s="379">
        <f t="shared" si="53"/>
        <v>30</v>
      </c>
      <c r="L810" s="643">
        <f>IFERROR(IF(B810="funkcna poziadavka",VLOOKUP(G810,MODULY_CBA!$B$3:$E$23,4,0)*H810/SUMIFS($H$3:$H$199,$G$3:$G$199,G810,$B$3:$B$199,B810),),)</f>
        <v>0</v>
      </c>
      <c r="M810" s="379">
        <f>IFERROR(IF(B810="Funkcna poziadavka",VLOOKUP(G810,MODULY_CBA!$B$3:$E$23,3,0),),)</f>
        <v>0.93499999999999994</v>
      </c>
      <c r="N810" s="379">
        <f>IFERROR(IF(B810="funkcna poziadavka",VLOOKUP(G810,MODULY_CBA!$B$3:$E$23,2,0),),)</f>
        <v>1.18</v>
      </c>
      <c r="O810" s="378">
        <f t="shared" si="54"/>
        <v>33.098999999999997</v>
      </c>
      <c r="P810" s="377">
        <f>IFERROR(O810*VLOOKUP(G810,MODULY_CBA!$B$3:$F$23,5,0),)</f>
        <v>827.47499999999991</v>
      </c>
      <c r="Q810" s="478" t="str">
        <f>IFERROR(VLOOKUP(G810,MODULY_CBA!$B$3:$I$23,6,0),"")</f>
        <v>Inkrement 1</v>
      </c>
    </row>
    <row r="811" spans="1:17" ht="25.5">
      <c r="A811" s="401">
        <v>809</v>
      </c>
      <c r="B811" s="401" t="s">
        <v>475</v>
      </c>
      <c r="C811" s="532" t="s">
        <v>1265</v>
      </c>
      <c r="D811" s="532" t="s">
        <v>1271</v>
      </c>
      <c r="E811" s="389"/>
      <c r="F811" s="389" t="s">
        <v>8</v>
      </c>
      <c r="G811" s="389" t="s">
        <v>241</v>
      </c>
      <c r="H811" s="379">
        <v>2</v>
      </c>
      <c r="I811" s="379">
        <v>15</v>
      </c>
      <c r="J811" s="379">
        <f t="shared" si="52"/>
        <v>2</v>
      </c>
      <c r="K811" s="379">
        <f t="shared" si="53"/>
        <v>30</v>
      </c>
      <c r="L811" s="643">
        <f>IFERROR(IF(B811="funkcna poziadavka",VLOOKUP(G811,MODULY_CBA!$B$3:$E$23,4,0)*H811/SUMIFS($H$3:$H$199,$G$3:$G$199,G811,$B$3:$B$199,B811),),)</f>
        <v>0</v>
      </c>
      <c r="M811" s="379">
        <f>IFERROR(IF(B811="Funkcna poziadavka",VLOOKUP(G811,MODULY_CBA!$B$3:$E$23,3,0),),)</f>
        <v>0.93499999999999994</v>
      </c>
      <c r="N811" s="379">
        <f>IFERROR(IF(B811="funkcna poziadavka",VLOOKUP(G811,MODULY_CBA!$B$3:$E$23,2,0),),)</f>
        <v>1.18</v>
      </c>
      <c r="O811" s="378">
        <f t="shared" si="54"/>
        <v>33.098999999999997</v>
      </c>
      <c r="P811" s="377">
        <f>IFERROR(O811*VLOOKUP(G811,MODULY_CBA!$B$3:$F$23,5,0),)</f>
        <v>827.47499999999991</v>
      </c>
      <c r="Q811" s="478" t="str">
        <f>IFERROR(VLOOKUP(G811,MODULY_CBA!$B$3:$I$23,6,0),"")</f>
        <v>Inkrement 1</v>
      </c>
    </row>
    <row r="812" spans="1:17" ht="25.5">
      <c r="A812" s="401">
        <v>810</v>
      </c>
      <c r="B812" s="401" t="s">
        <v>475</v>
      </c>
      <c r="C812" s="532" t="s">
        <v>1265</v>
      </c>
      <c r="D812" s="532" t="s">
        <v>1272</v>
      </c>
      <c r="E812" s="389"/>
      <c r="F812" s="389" t="s">
        <v>8</v>
      </c>
      <c r="G812" s="389" t="s">
        <v>241</v>
      </c>
      <c r="H812" s="379">
        <v>2</v>
      </c>
      <c r="I812" s="379">
        <v>15</v>
      </c>
      <c r="J812" s="379">
        <f t="shared" si="52"/>
        <v>2</v>
      </c>
      <c r="K812" s="379">
        <f t="shared" si="53"/>
        <v>30</v>
      </c>
      <c r="L812" s="643">
        <f>IFERROR(IF(B812="funkcna poziadavka",VLOOKUP(G812,MODULY_CBA!$B$3:$E$23,4,0)*H812/SUMIFS($H$3:$H$199,$G$3:$G$199,G812,$B$3:$B$199,B812),),)</f>
        <v>0</v>
      </c>
      <c r="M812" s="379">
        <f>IFERROR(IF(B812="Funkcna poziadavka",VLOOKUP(G812,MODULY_CBA!$B$3:$E$23,3,0),),)</f>
        <v>0.93499999999999994</v>
      </c>
      <c r="N812" s="379">
        <f>IFERROR(IF(B812="funkcna poziadavka",VLOOKUP(G812,MODULY_CBA!$B$3:$E$23,2,0),),)</f>
        <v>1.18</v>
      </c>
      <c r="O812" s="378">
        <f t="shared" si="54"/>
        <v>33.098999999999997</v>
      </c>
      <c r="P812" s="377">
        <f>IFERROR(O812*VLOOKUP(G812,MODULY_CBA!$B$3:$F$23,5,0),)</f>
        <v>827.47499999999991</v>
      </c>
      <c r="Q812" s="478" t="str">
        <f>IFERROR(VLOOKUP(G812,MODULY_CBA!$B$3:$I$23,6,0),"")</f>
        <v>Inkrement 1</v>
      </c>
    </row>
    <row r="813" spans="1:17" ht="25.5">
      <c r="A813" s="401">
        <v>811</v>
      </c>
      <c r="B813" s="401" t="s">
        <v>475</v>
      </c>
      <c r="C813" s="532" t="s">
        <v>1265</v>
      </c>
      <c r="D813" s="532" t="s">
        <v>1273</v>
      </c>
      <c r="E813" s="389"/>
      <c r="F813" s="389" t="s">
        <v>8</v>
      </c>
      <c r="G813" s="389" t="s">
        <v>241</v>
      </c>
      <c r="H813" s="379">
        <v>2</v>
      </c>
      <c r="I813" s="379">
        <v>15</v>
      </c>
      <c r="J813" s="379">
        <f t="shared" si="52"/>
        <v>2</v>
      </c>
      <c r="K813" s="379">
        <f t="shared" si="53"/>
        <v>30</v>
      </c>
      <c r="L813" s="643">
        <f>IFERROR(IF(B813="funkcna poziadavka",VLOOKUP(G813,MODULY_CBA!$B$3:$E$23,4,0)*H813/SUMIFS($H$3:$H$199,$G$3:$G$199,G813,$B$3:$B$199,B813),),)</f>
        <v>0</v>
      </c>
      <c r="M813" s="379">
        <f>IFERROR(IF(B813="Funkcna poziadavka",VLOOKUP(G813,MODULY_CBA!$B$3:$E$23,3,0),),)</f>
        <v>0.93499999999999994</v>
      </c>
      <c r="N813" s="379">
        <f>IFERROR(IF(B813="funkcna poziadavka",VLOOKUP(G813,MODULY_CBA!$B$3:$E$23,2,0),),)</f>
        <v>1.18</v>
      </c>
      <c r="O813" s="378">
        <f t="shared" si="54"/>
        <v>33.098999999999997</v>
      </c>
      <c r="P813" s="377">
        <f>IFERROR(O813*VLOOKUP(G813,MODULY_CBA!$B$3:$F$23,5,0),)</f>
        <v>827.47499999999991</v>
      </c>
      <c r="Q813" s="478" t="str">
        <f>IFERROR(VLOOKUP(G813,MODULY_CBA!$B$3:$I$23,6,0),"")</f>
        <v>Inkrement 1</v>
      </c>
    </row>
    <row r="814" spans="1:17" ht="25.5">
      <c r="A814" s="401">
        <v>812</v>
      </c>
      <c r="B814" s="401" t="s">
        <v>475</v>
      </c>
      <c r="C814" s="532" t="s">
        <v>1265</v>
      </c>
      <c r="D814" s="532" t="s">
        <v>1274</v>
      </c>
      <c r="E814" s="389"/>
      <c r="F814" s="389" t="s">
        <v>8</v>
      </c>
      <c r="G814" s="389" t="s">
        <v>241</v>
      </c>
      <c r="H814" s="379">
        <v>2</v>
      </c>
      <c r="I814" s="379">
        <v>15</v>
      </c>
      <c r="J814" s="379">
        <f t="shared" si="52"/>
        <v>2</v>
      </c>
      <c r="K814" s="379">
        <f t="shared" si="53"/>
        <v>30</v>
      </c>
      <c r="L814" s="643">
        <f>IFERROR(IF(B814="funkcna poziadavka",VLOOKUP(G814,MODULY_CBA!$B$3:$E$23,4,0)*H814/SUMIFS($H$3:$H$199,$G$3:$G$199,G814,$B$3:$B$199,B814),),)</f>
        <v>0</v>
      </c>
      <c r="M814" s="379">
        <f>IFERROR(IF(B814="Funkcna poziadavka",VLOOKUP(G814,MODULY_CBA!$B$3:$E$23,3,0),),)</f>
        <v>0.93499999999999994</v>
      </c>
      <c r="N814" s="379">
        <f>IFERROR(IF(B814="funkcna poziadavka",VLOOKUP(G814,MODULY_CBA!$B$3:$E$23,2,0),),)</f>
        <v>1.18</v>
      </c>
      <c r="O814" s="378">
        <f t="shared" si="54"/>
        <v>33.098999999999997</v>
      </c>
      <c r="P814" s="377">
        <f>IFERROR(O814*VLOOKUP(G814,MODULY_CBA!$B$3:$F$23,5,0),)</f>
        <v>827.47499999999991</v>
      </c>
      <c r="Q814" s="478" t="str">
        <f>IFERROR(VLOOKUP(G814,MODULY_CBA!$B$3:$I$23,6,0),"")</f>
        <v>Inkrement 1</v>
      </c>
    </row>
    <row r="815" spans="1:17" ht="25.5">
      <c r="A815" s="401">
        <v>813</v>
      </c>
      <c r="B815" s="401" t="s">
        <v>475</v>
      </c>
      <c r="C815" s="532" t="s">
        <v>1265</v>
      </c>
      <c r="D815" s="532" t="s">
        <v>1275</v>
      </c>
      <c r="E815" s="389"/>
      <c r="F815" s="389" t="s">
        <v>8</v>
      </c>
      <c r="G815" s="389" t="s">
        <v>241</v>
      </c>
      <c r="H815" s="379">
        <v>2</v>
      </c>
      <c r="I815" s="379">
        <v>15</v>
      </c>
      <c r="J815" s="379">
        <f t="shared" si="52"/>
        <v>2</v>
      </c>
      <c r="K815" s="379">
        <f t="shared" si="53"/>
        <v>30</v>
      </c>
      <c r="L815" s="643">
        <f>IFERROR(IF(B815="funkcna poziadavka",VLOOKUP(G815,MODULY_CBA!$B$3:$E$23,4,0)*H815/SUMIFS($H$3:$H$199,$G$3:$G$199,G815,$B$3:$B$199,B815),),)</f>
        <v>0</v>
      </c>
      <c r="M815" s="379">
        <f>IFERROR(IF(B815="Funkcna poziadavka",VLOOKUP(G815,MODULY_CBA!$B$3:$E$23,3,0),),)</f>
        <v>0.93499999999999994</v>
      </c>
      <c r="N815" s="379">
        <f>IFERROR(IF(B815="funkcna poziadavka",VLOOKUP(G815,MODULY_CBA!$B$3:$E$23,2,0),),)</f>
        <v>1.18</v>
      </c>
      <c r="O815" s="378">
        <f t="shared" si="54"/>
        <v>33.098999999999997</v>
      </c>
      <c r="P815" s="377">
        <f>IFERROR(O815*VLOOKUP(G815,MODULY_CBA!$B$3:$F$23,5,0),)</f>
        <v>827.47499999999991</v>
      </c>
      <c r="Q815" s="478" t="str">
        <f>IFERROR(VLOOKUP(G815,MODULY_CBA!$B$3:$I$23,6,0),"")</f>
        <v>Inkrement 1</v>
      </c>
    </row>
    <row r="816" spans="1:17">
      <c r="E816" s="670" t="s">
        <v>1276</v>
      </c>
    </row>
  </sheetData>
  <autoFilter ref="A2:AE816" xr:uid="{00000000-0001-0000-0B00-000000000000}"/>
  <mergeCells count="4">
    <mergeCell ref="T1:V1"/>
    <mergeCell ref="W1:AC1"/>
    <mergeCell ref="AD1:AE1"/>
    <mergeCell ref="A1:S1"/>
  </mergeCells>
  <phoneticPr fontId="58" type="noConversion"/>
  <conditionalFormatting sqref="E3:E19 E21 E23:E24 E26:E38 E68:E69 E61:E66 E40:E46 E72:E74 E49:E55 E57:E58 E90:E98 E77:E88 E101:E120 E124:E125 E128:E131 E133:E136 E138:E164 E167 E169:E173 E184:E189 E176:E180 E182 E192:E200 E202:E216 E218:E221 E224:E226 E229:E232 E235:E239 E242:E246 E249:E252 E254:E270 E273:E278 E281:E287 E290:E293 E296:E302 E304:E306 E308:E311 E313 E316:E337 E339:E370 E373:E398 E401 E411 E426 E403:E409 E413 E428:E572 E416:E424 E576:E581 E586 E589:E591 E613 E595:E598 E629:E630 E602:E603 E605 E632:E633 E607:E608 E635:E637 E643:E659 E689 E754:E756 E771:E773 E740 E727 E715 E703 E776:E815 E759:E767 E743:E750 E730:E736 E718:E720 E706:E711 E692:E693 E615:E620 E722:E723 E695:E699 E682:E685 E663:E678">
    <cfRule type="duplicateValues" dxfId="627" priority="619"/>
  </conditionalFormatting>
  <conditionalFormatting sqref="E3:E122 E124:E815">
    <cfRule type="duplicateValues" dxfId="626" priority="6"/>
  </conditionalFormatting>
  <conditionalFormatting sqref="E3:E815">
    <cfRule type="duplicateValues" dxfId="625" priority="1"/>
  </conditionalFormatting>
  <conditionalFormatting sqref="E20">
    <cfRule type="duplicateValues" dxfId="624" priority="616"/>
    <cfRule type="duplicateValues" dxfId="623" priority="617"/>
    <cfRule type="duplicateValues" dxfId="622" priority="618"/>
    <cfRule type="duplicateValues" dxfId="621" priority="615"/>
  </conditionalFormatting>
  <conditionalFormatting sqref="E22">
    <cfRule type="duplicateValues" dxfId="620" priority="614"/>
    <cfRule type="duplicateValues" dxfId="619" priority="613"/>
    <cfRule type="duplicateValues" dxfId="618" priority="612"/>
    <cfRule type="duplicateValues" dxfId="617" priority="611"/>
  </conditionalFormatting>
  <conditionalFormatting sqref="E25">
    <cfRule type="duplicateValues" dxfId="616" priority="610"/>
    <cfRule type="duplicateValues" dxfId="615" priority="609"/>
    <cfRule type="duplicateValues" dxfId="614" priority="608"/>
    <cfRule type="duplicateValues" dxfId="613" priority="607"/>
  </conditionalFormatting>
  <conditionalFormatting sqref="E39">
    <cfRule type="duplicateValues" dxfId="612" priority="591"/>
    <cfRule type="duplicateValues" dxfId="611" priority="594"/>
    <cfRule type="duplicateValues" dxfId="610" priority="593"/>
    <cfRule type="duplicateValues" dxfId="609" priority="592"/>
  </conditionalFormatting>
  <conditionalFormatting sqref="E47">
    <cfRule type="duplicateValues" dxfId="608" priority="584"/>
    <cfRule type="duplicateValues" dxfId="607" priority="583"/>
    <cfRule type="duplicateValues" dxfId="606" priority="586"/>
    <cfRule type="duplicateValues" dxfId="605" priority="585"/>
  </conditionalFormatting>
  <conditionalFormatting sqref="E48">
    <cfRule type="duplicateValues" dxfId="604" priority="582"/>
    <cfRule type="duplicateValues" dxfId="603" priority="581"/>
    <cfRule type="duplicateValues" dxfId="602" priority="580"/>
    <cfRule type="duplicateValues" dxfId="601" priority="579"/>
  </conditionalFormatting>
  <conditionalFormatting sqref="E56">
    <cfRule type="duplicateValues" dxfId="600" priority="577"/>
    <cfRule type="duplicateValues" dxfId="599" priority="576"/>
    <cfRule type="duplicateValues" dxfId="598" priority="575"/>
    <cfRule type="duplicateValues" dxfId="597" priority="578"/>
  </conditionalFormatting>
  <conditionalFormatting sqref="E59">
    <cfRule type="duplicateValues" dxfId="596" priority="598"/>
    <cfRule type="duplicateValues" dxfId="595" priority="597"/>
    <cfRule type="duplicateValues" dxfId="594" priority="596"/>
    <cfRule type="duplicateValues" dxfId="593" priority="595"/>
  </conditionalFormatting>
  <conditionalFormatting sqref="E60">
    <cfRule type="duplicateValues" dxfId="592" priority="599"/>
    <cfRule type="duplicateValues" dxfId="591" priority="601"/>
    <cfRule type="duplicateValues" dxfId="590" priority="600"/>
    <cfRule type="duplicateValues" dxfId="589" priority="602"/>
  </conditionalFormatting>
  <conditionalFormatting sqref="E67">
    <cfRule type="duplicateValues" dxfId="588" priority="605"/>
    <cfRule type="duplicateValues" dxfId="587" priority="604"/>
    <cfRule type="duplicateValues" dxfId="586" priority="603"/>
    <cfRule type="duplicateValues" dxfId="585" priority="606"/>
  </conditionalFormatting>
  <conditionalFormatting sqref="E70">
    <cfRule type="duplicateValues" dxfId="584" priority="573"/>
    <cfRule type="duplicateValues" dxfId="583" priority="572"/>
    <cfRule type="duplicateValues" dxfId="582" priority="571"/>
    <cfRule type="duplicateValues" dxfId="581" priority="574"/>
  </conditionalFormatting>
  <conditionalFormatting sqref="E71">
    <cfRule type="duplicateValues" dxfId="580" priority="590"/>
    <cfRule type="duplicateValues" dxfId="579" priority="589"/>
    <cfRule type="duplicateValues" dxfId="578" priority="588"/>
    <cfRule type="duplicateValues" dxfId="577" priority="587"/>
  </conditionalFormatting>
  <conditionalFormatting sqref="E75">
    <cfRule type="duplicateValues" dxfId="576" priority="554"/>
    <cfRule type="duplicateValues" dxfId="575" priority="553"/>
    <cfRule type="duplicateValues" dxfId="574" priority="552"/>
    <cfRule type="duplicateValues" dxfId="573" priority="551"/>
  </conditionalFormatting>
  <conditionalFormatting sqref="E76">
    <cfRule type="duplicateValues" dxfId="572" priority="557"/>
    <cfRule type="duplicateValues" dxfId="571" priority="556"/>
    <cfRule type="duplicateValues" dxfId="570" priority="555"/>
    <cfRule type="duplicateValues" dxfId="569" priority="558"/>
  </conditionalFormatting>
  <conditionalFormatting sqref="E89">
    <cfRule type="duplicateValues" dxfId="568" priority="562"/>
    <cfRule type="duplicateValues" dxfId="567" priority="561"/>
    <cfRule type="duplicateValues" dxfId="566" priority="560"/>
    <cfRule type="duplicateValues" dxfId="565" priority="559"/>
  </conditionalFormatting>
  <conditionalFormatting sqref="E99">
    <cfRule type="duplicateValues" dxfId="564" priority="546"/>
    <cfRule type="duplicateValues" dxfId="563" priority="545"/>
    <cfRule type="duplicateValues" dxfId="562" priority="544"/>
    <cfRule type="duplicateValues" dxfId="561" priority="543"/>
  </conditionalFormatting>
  <conditionalFormatting sqref="E100">
    <cfRule type="duplicateValues" dxfId="560" priority="549"/>
    <cfRule type="duplicateValues" dxfId="559" priority="548"/>
    <cfRule type="duplicateValues" dxfId="558" priority="547"/>
    <cfRule type="duplicateValues" dxfId="557" priority="550"/>
  </conditionalFormatting>
  <conditionalFormatting sqref="E121">
    <cfRule type="duplicateValues" dxfId="556" priority="536"/>
    <cfRule type="duplicateValues" dxfId="555" priority="537"/>
    <cfRule type="duplicateValues" dxfId="554" priority="535"/>
    <cfRule type="duplicateValues" dxfId="553" priority="538"/>
  </conditionalFormatting>
  <conditionalFormatting sqref="E122">
    <cfRule type="duplicateValues" dxfId="552" priority="541"/>
    <cfRule type="duplicateValues" dxfId="551" priority="542"/>
    <cfRule type="duplicateValues" dxfId="550" priority="539"/>
    <cfRule type="duplicateValues" dxfId="549" priority="540"/>
  </conditionalFormatting>
  <conditionalFormatting sqref="E123">
    <cfRule type="duplicateValues" dxfId="548" priority="2"/>
    <cfRule type="duplicateValues" dxfId="547" priority="3"/>
    <cfRule type="duplicateValues" dxfId="546" priority="4"/>
    <cfRule type="duplicateValues" dxfId="545" priority="5"/>
  </conditionalFormatting>
  <conditionalFormatting sqref="E126">
    <cfRule type="duplicateValues" dxfId="544" priority="534"/>
    <cfRule type="duplicateValues" dxfId="543" priority="533"/>
    <cfRule type="duplicateValues" dxfId="542" priority="532"/>
    <cfRule type="duplicateValues" dxfId="541" priority="531"/>
  </conditionalFormatting>
  <conditionalFormatting sqref="E127">
    <cfRule type="duplicateValues" dxfId="540" priority="530"/>
    <cfRule type="duplicateValues" dxfId="539" priority="529"/>
    <cfRule type="duplicateValues" dxfId="538" priority="528"/>
    <cfRule type="duplicateValues" dxfId="537" priority="527"/>
  </conditionalFormatting>
  <conditionalFormatting sqref="E132">
    <cfRule type="duplicateValues" dxfId="536" priority="526"/>
    <cfRule type="duplicateValues" dxfId="535" priority="525"/>
    <cfRule type="duplicateValues" dxfId="534" priority="524"/>
    <cfRule type="duplicateValues" dxfId="533" priority="523"/>
  </conditionalFormatting>
  <conditionalFormatting sqref="E137">
    <cfRule type="duplicateValues" dxfId="532" priority="520"/>
    <cfRule type="duplicateValues" dxfId="531" priority="521"/>
    <cfRule type="duplicateValues" dxfId="530" priority="522"/>
    <cfRule type="duplicateValues" dxfId="529" priority="519"/>
  </conditionalFormatting>
  <conditionalFormatting sqref="E165">
    <cfRule type="duplicateValues" dxfId="528" priority="518"/>
    <cfRule type="duplicateValues" dxfId="527" priority="517"/>
    <cfRule type="duplicateValues" dxfId="526" priority="516"/>
    <cfRule type="duplicateValues" dxfId="525" priority="515"/>
  </conditionalFormatting>
  <conditionalFormatting sqref="E166">
    <cfRule type="duplicateValues" dxfId="524" priority="514"/>
    <cfRule type="duplicateValues" dxfId="523" priority="513"/>
    <cfRule type="duplicateValues" dxfId="522" priority="512"/>
    <cfRule type="duplicateValues" dxfId="521" priority="511"/>
  </conditionalFormatting>
  <conditionalFormatting sqref="E168">
    <cfRule type="duplicateValues" dxfId="520" priority="510"/>
    <cfRule type="duplicateValues" dxfId="519" priority="509"/>
    <cfRule type="duplicateValues" dxfId="518" priority="508"/>
    <cfRule type="duplicateValues" dxfId="517" priority="507"/>
  </conditionalFormatting>
  <conditionalFormatting sqref="E174">
    <cfRule type="duplicateValues" dxfId="516" priority="501"/>
    <cfRule type="duplicateValues" dxfId="515" priority="500"/>
    <cfRule type="duplicateValues" dxfId="514" priority="499"/>
    <cfRule type="duplicateValues" dxfId="513" priority="502"/>
  </conditionalFormatting>
  <conditionalFormatting sqref="E175">
    <cfRule type="duplicateValues" dxfId="512" priority="497"/>
    <cfRule type="duplicateValues" dxfId="511" priority="496"/>
    <cfRule type="duplicateValues" dxfId="510" priority="495"/>
    <cfRule type="duplicateValues" dxfId="509" priority="498"/>
  </conditionalFormatting>
  <conditionalFormatting sqref="E181">
    <cfRule type="duplicateValues" dxfId="508" priority="494"/>
    <cfRule type="duplicateValues" dxfId="507" priority="493"/>
    <cfRule type="duplicateValues" dxfId="506" priority="492"/>
    <cfRule type="duplicateValues" dxfId="505" priority="491"/>
  </conditionalFormatting>
  <conditionalFormatting sqref="E183">
    <cfRule type="duplicateValues" dxfId="504" priority="504"/>
    <cfRule type="duplicateValues" dxfId="503" priority="505"/>
    <cfRule type="duplicateValues" dxfId="502" priority="506"/>
    <cfRule type="duplicateValues" dxfId="501" priority="503"/>
  </conditionalFormatting>
  <conditionalFormatting sqref="E190">
    <cfRule type="duplicateValues" dxfId="500" priority="490"/>
    <cfRule type="duplicateValues" dxfId="499" priority="489"/>
    <cfRule type="duplicateValues" dxfId="498" priority="488"/>
    <cfRule type="duplicateValues" dxfId="497" priority="487"/>
  </conditionalFormatting>
  <conditionalFormatting sqref="E191">
    <cfRule type="duplicateValues" dxfId="496" priority="486"/>
    <cfRule type="duplicateValues" dxfId="495" priority="485"/>
    <cfRule type="duplicateValues" dxfId="494" priority="484"/>
    <cfRule type="duplicateValues" dxfId="493" priority="483"/>
  </conditionalFormatting>
  <conditionalFormatting sqref="E201">
    <cfRule type="duplicateValues" dxfId="492" priority="482"/>
    <cfRule type="duplicateValues" dxfId="491" priority="481"/>
    <cfRule type="duplicateValues" dxfId="490" priority="479"/>
    <cfRule type="duplicateValues" dxfId="489" priority="480"/>
  </conditionalFormatting>
  <conditionalFormatting sqref="E217">
    <cfRule type="duplicateValues" dxfId="488" priority="478"/>
    <cfRule type="duplicateValues" dxfId="487" priority="477"/>
    <cfRule type="duplicateValues" dxfId="486" priority="476"/>
    <cfRule type="duplicateValues" dxfId="485" priority="475"/>
  </conditionalFormatting>
  <conditionalFormatting sqref="E222">
    <cfRule type="duplicateValues" dxfId="484" priority="473"/>
    <cfRule type="duplicateValues" dxfId="483" priority="472"/>
    <cfRule type="duplicateValues" dxfId="482" priority="474"/>
    <cfRule type="duplicateValues" dxfId="481" priority="471"/>
  </conditionalFormatting>
  <conditionalFormatting sqref="E223">
    <cfRule type="duplicateValues" dxfId="480" priority="470"/>
    <cfRule type="duplicateValues" dxfId="479" priority="469"/>
    <cfRule type="duplicateValues" dxfId="478" priority="468"/>
    <cfRule type="duplicateValues" dxfId="477" priority="467"/>
  </conditionalFormatting>
  <conditionalFormatting sqref="E227">
    <cfRule type="duplicateValues" dxfId="476" priority="462"/>
    <cfRule type="duplicateValues" dxfId="475" priority="460"/>
    <cfRule type="duplicateValues" dxfId="474" priority="459"/>
    <cfRule type="duplicateValues" dxfId="473" priority="461"/>
  </conditionalFormatting>
  <conditionalFormatting sqref="E228">
    <cfRule type="duplicateValues" dxfId="472" priority="466"/>
    <cfRule type="duplicateValues" dxfId="471" priority="463"/>
    <cfRule type="duplicateValues" dxfId="470" priority="464"/>
    <cfRule type="duplicateValues" dxfId="469" priority="465"/>
  </conditionalFormatting>
  <conditionalFormatting sqref="E233">
    <cfRule type="duplicateValues" dxfId="468" priority="457"/>
    <cfRule type="duplicateValues" dxfId="467" priority="456"/>
    <cfRule type="duplicateValues" dxfId="466" priority="455"/>
    <cfRule type="duplicateValues" dxfId="465" priority="458"/>
  </conditionalFormatting>
  <conditionalFormatting sqref="E234">
    <cfRule type="duplicateValues" dxfId="464" priority="454"/>
    <cfRule type="duplicateValues" dxfId="463" priority="453"/>
    <cfRule type="duplicateValues" dxfId="462" priority="452"/>
    <cfRule type="duplicateValues" dxfId="461" priority="451"/>
  </conditionalFormatting>
  <conditionalFormatting sqref="E240">
    <cfRule type="duplicateValues" dxfId="460" priority="450"/>
    <cfRule type="duplicateValues" dxfId="459" priority="449"/>
    <cfRule type="duplicateValues" dxfId="458" priority="448"/>
    <cfRule type="duplicateValues" dxfId="457" priority="447"/>
  </conditionalFormatting>
  <conditionalFormatting sqref="E241">
    <cfRule type="duplicateValues" dxfId="456" priority="446"/>
    <cfRule type="duplicateValues" dxfId="455" priority="445"/>
    <cfRule type="duplicateValues" dxfId="454" priority="444"/>
    <cfRule type="duplicateValues" dxfId="453" priority="443"/>
  </conditionalFormatting>
  <conditionalFormatting sqref="E247">
    <cfRule type="duplicateValues" dxfId="452" priority="438"/>
    <cfRule type="duplicateValues" dxfId="451" priority="437"/>
    <cfRule type="duplicateValues" dxfId="450" priority="435"/>
    <cfRule type="duplicateValues" dxfId="449" priority="436"/>
  </conditionalFormatting>
  <conditionalFormatting sqref="E248">
    <cfRule type="duplicateValues" dxfId="448" priority="441"/>
    <cfRule type="duplicateValues" dxfId="447" priority="439"/>
    <cfRule type="duplicateValues" dxfId="446" priority="440"/>
    <cfRule type="duplicateValues" dxfId="445" priority="442"/>
  </conditionalFormatting>
  <conditionalFormatting sqref="E253">
    <cfRule type="duplicateValues" dxfId="444" priority="434"/>
    <cfRule type="duplicateValues" dxfId="443" priority="433"/>
    <cfRule type="duplicateValues" dxfId="442" priority="432"/>
    <cfRule type="duplicateValues" dxfId="441" priority="431"/>
  </conditionalFormatting>
  <conditionalFormatting sqref="E271">
    <cfRule type="duplicateValues" dxfId="440" priority="429"/>
    <cfRule type="duplicateValues" dxfId="439" priority="428"/>
    <cfRule type="duplicateValues" dxfId="438" priority="427"/>
    <cfRule type="duplicateValues" dxfId="437" priority="430"/>
  </conditionalFormatting>
  <conditionalFormatting sqref="E272">
    <cfRule type="duplicateValues" dxfId="436" priority="426"/>
    <cfRule type="duplicateValues" dxfId="435" priority="425"/>
    <cfRule type="duplicateValues" dxfId="434" priority="423"/>
    <cfRule type="duplicateValues" dxfId="433" priority="424"/>
  </conditionalFormatting>
  <conditionalFormatting sqref="E279">
    <cfRule type="duplicateValues" dxfId="432" priority="422"/>
    <cfRule type="duplicateValues" dxfId="431" priority="421"/>
    <cfRule type="duplicateValues" dxfId="430" priority="420"/>
    <cfRule type="duplicateValues" dxfId="429" priority="419"/>
  </conditionalFormatting>
  <conditionalFormatting sqref="E280">
    <cfRule type="duplicateValues" dxfId="428" priority="417"/>
    <cfRule type="duplicateValues" dxfId="427" priority="416"/>
    <cfRule type="duplicateValues" dxfId="426" priority="415"/>
    <cfRule type="duplicateValues" dxfId="425" priority="418"/>
  </conditionalFormatting>
  <conditionalFormatting sqref="E288">
    <cfRule type="duplicateValues" dxfId="424" priority="414"/>
    <cfRule type="duplicateValues" dxfId="423" priority="413"/>
    <cfRule type="duplicateValues" dxfId="422" priority="412"/>
    <cfRule type="duplicateValues" dxfId="421" priority="411"/>
  </conditionalFormatting>
  <conditionalFormatting sqref="E289">
    <cfRule type="duplicateValues" dxfId="420" priority="409"/>
    <cfRule type="duplicateValues" dxfId="419" priority="408"/>
    <cfRule type="duplicateValues" dxfId="418" priority="407"/>
    <cfRule type="duplicateValues" dxfId="417" priority="410"/>
  </conditionalFormatting>
  <conditionalFormatting sqref="E294">
    <cfRule type="duplicateValues" dxfId="416" priority="402"/>
    <cfRule type="duplicateValues" dxfId="415" priority="401"/>
    <cfRule type="duplicateValues" dxfId="414" priority="400"/>
    <cfRule type="duplicateValues" dxfId="413" priority="399"/>
  </conditionalFormatting>
  <conditionalFormatting sqref="E295">
    <cfRule type="duplicateValues" dxfId="412" priority="406"/>
    <cfRule type="duplicateValues" dxfId="411" priority="405"/>
    <cfRule type="duplicateValues" dxfId="410" priority="404"/>
    <cfRule type="duplicateValues" dxfId="409" priority="403"/>
  </conditionalFormatting>
  <conditionalFormatting sqref="E303">
    <cfRule type="duplicateValues" dxfId="408" priority="397"/>
    <cfRule type="duplicateValues" dxfId="407" priority="396"/>
    <cfRule type="duplicateValues" dxfId="406" priority="395"/>
    <cfRule type="duplicateValues" dxfId="405" priority="398"/>
  </conditionalFormatting>
  <conditionalFormatting sqref="E307">
    <cfRule type="duplicateValues" dxfId="404" priority="394"/>
    <cfRule type="duplicateValues" dxfId="403" priority="393"/>
    <cfRule type="duplicateValues" dxfId="402" priority="392"/>
    <cfRule type="duplicateValues" dxfId="401" priority="391"/>
  </conditionalFormatting>
  <conditionalFormatting sqref="E312">
    <cfRule type="duplicateValues" dxfId="400" priority="390"/>
    <cfRule type="duplicateValues" dxfId="399" priority="389"/>
    <cfRule type="duplicateValues" dxfId="398" priority="387"/>
    <cfRule type="duplicateValues" dxfId="397" priority="388"/>
  </conditionalFormatting>
  <conditionalFormatting sqref="E314">
    <cfRule type="duplicateValues" dxfId="396" priority="386"/>
    <cfRule type="duplicateValues" dxfId="395" priority="384"/>
    <cfRule type="duplicateValues" dxfId="394" priority="385"/>
    <cfRule type="duplicateValues" dxfId="393" priority="383"/>
  </conditionalFormatting>
  <conditionalFormatting sqref="E315">
    <cfRule type="duplicateValues" dxfId="392" priority="381"/>
    <cfRule type="duplicateValues" dxfId="391" priority="380"/>
    <cfRule type="duplicateValues" dxfId="390" priority="379"/>
    <cfRule type="duplicateValues" dxfId="389" priority="382"/>
  </conditionalFormatting>
  <conditionalFormatting sqref="E338">
    <cfRule type="duplicateValues" dxfId="388" priority="377"/>
    <cfRule type="duplicateValues" dxfId="387" priority="375"/>
    <cfRule type="duplicateValues" dxfId="386" priority="378"/>
    <cfRule type="duplicateValues" dxfId="385" priority="376"/>
  </conditionalFormatting>
  <conditionalFormatting sqref="E371">
    <cfRule type="duplicateValues" dxfId="384" priority="373"/>
    <cfRule type="duplicateValues" dxfId="383" priority="372"/>
    <cfRule type="duplicateValues" dxfId="382" priority="371"/>
    <cfRule type="duplicateValues" dxfId="381" priority="374"/>
  </conditionalFormatting>
  <conditionalFormatting sqref="E372">
    <cfRule type="duplicateValues" dxfId="380" priority="370"/>
    <cfRule type="duplicateValues" dxfId="379" priority="369"/>
    <cfRule type="duplicateValues" dxfId="378" priority="368"/>
    <cfRule type="duplicateValues" dxfId="377" priority="367"/>
  </conditionalFormatting>
  <conditionalFormatting sqref="E399">
    <cfRule type="duplicateValues" dxfId="376" priority="366"/>
    <cfRule type="duplicateValues" dxfId="375" priority="365"/>
    <cfRule type="duplicateValues" dxfId="374" priority="364"/>
    <cfRule type="duplicateValues" dxfId="373" priority="363"/>
  </conditionalFormatting>
  <conditionalFormatting sqref="E400">
    <cfRule type="duplicateValues" dxfId="372" priority="362"/>
    <cfRule type="duplicateValues" dxfId="371" priority="361"/>
    <cfRule type="duplicateValues" dxfId="370" priority="360"/>
    <cfRule type="duplicateValues" dxfId="369" priority="359"/>
  </conditionalFormatting>
  <conditionalFormatting sqref="E402">
    <cfRule type="duplicateValues" dxfId="368" priority="350"/>
    <cfRule type="duplicateValues" dxfId="367" priority="349"/>
    <cfRule type="duplicateValues" dxfId="366" priority="348"/>
    <cfRule type="duplicateValues" dxfId="365" priority="347"/>
  </conditionalFormatting>
  <conditionalFormatting sqref="E410">
    <cfRule type="duplicateValues" dxfId="364" priority="358"/>
    <cfRule type="duplicateValues" dxfId="363" priority="357"/>
    <cfRule type="duplicateValues" dxfId="362" priority="356"/>
    <cfRule type="duplicateValues" dxfId="361" priority="355"/>
  </conditionalFormatting>
  <conditionalFormatting sqref="E412">
    <cfRule type="duplicateValues" dxfId="360" priority="344"/>
    <cfRule type="duplicateValues" dxfId="359" priority="346"/>
    <cfRule type="duplicateValues" dxfId="358" priority="345"/>
    <cfRule type="duplicateValues" dxfId="357" priority="343"/>
  </conditionalFormatting>
  <conditionalFormatting sqref="E414">
    <cfRule type="duplicateValues" dxfId="356" priority="333"/>
    <cfRule type="duplicateValues" dxfId="355" priority="332"/>
    <cfRule type="duplicateValues" dxfId="354" priority="331"/>
    <cfRule type="duplicateValues" dxfId="353" priority="334"/>
  </conditionalFormatting>
  <conditionalFormatting sqref="E415">
    <cfRule type="duplicateValues" dxfId="352" priority="335"/>
    <cfRule type="duplicateValues" dxfId="351" priority="338"/>
    <cfRule type="duplicateValues" dxfId="350" priority="337"/>
    <cfRule type="duplicateValues" dxfId="349" priority="336"/>
  </conditionalFormatting>
  <conditionalFormatting sqref="E425">
    <cfRule type="duplicateValues" dxfId="348" priority="354"/>
    <cfRule type="duplicateValues" dxfId="347" priority="353"/>
    <cfRule type="duplicateValues" dxfId="346" priority="351"/>
    <cfRule type="duplicateValues" dxfId="345" priority="352"/>
  </conditionalFormatting>
  <conditionalFormatting sqref="E427">
    <cfRule type="duplicateValues" dxfId="344" priority="339"/>
    <cfRule type="duplicateValues" dxfId="343" priority="340"/>
    <cfRule type="duplicateValues" dxfId="342" priority="341"/>
    <cfRule type="duplicateValues" dxfId="341" priority="342"/>
  </conditionalFormatting>
  <conditionalFormatting sqref="E573">
    <cfRule type="duplicateValues" dxfId="340" priority="330"/>
    <cfRule type="duplicateValues" dxfId="339" priority="329"/>
    <cfRule type="duplicateValues" dxfId="338" priority="328"/>
    <cfRule type="duplicateValues" dxfId="337" priority="327"/>
  </conditionalFormatting>
  <conditionalFormatting sqref="E574">
    <cfRule type="duplicateValues" dxfId="336" priority="326"/>
    <cfRule type="duplicateValues" dxfId="335" priority="324"/>
    <cfRule type="duplicateValues" dxfId="334" priority="323"/>
    <cfRule type="duplicateValues" dxfId="333" priority="325"/>
  </conditionalFormatting>
  <conditionalFormatting sqref="E575">
    <cfRule type="duplicateValues" dxfId="332" priority="321"/>
    <cfRule type="duplicateValues" dxfId="331" priority="320"/>
    <cfRule type="duplicateValues" dxfId="330" priority="319"/>
    <cfRule type="duplicateValues" dxfId="329" priority="322"/>
  </conditionalFormatting>
  <conditionalFormatting sqref="E582">
    <cfRule type="duplicateValues" dxfId="328" priority="313"/>
    <cfRule type="duplicateValues" dxfId="327" priority="312"/>
    <cfRule type="duplicateValues" dxfId="326" priority="311"/>
    <cfRule type="duplicateValues" dxfId="325" priority="314"/>
  </conditionalFormatting>
  <conditionalFormatting sqref="E583">
    <cfRule type="duplicateValues" dxfId="324" priority="318"/>
    <cfRule type="duplicateValues" dxfId="323" priority="317"/>
    <cfRule type="duplicateValues" dxfId="322" priority="316"/>
    <cfRule type="duplicateValues" dxfId="321" priority="315"/>
  </conditionalFormatting>
  <conditionalFormatting sqref="E584">
    <cfRule type="duplicateValues" dxfId="320" priority="308"/>
    <cfRule type="duplicateValues" dxfId="319" priority="309"/>
    <cfRule type="duplicateValues" dxfId="318" priority="310"/>
    <cfRule type="duplicateValues" dxfId="317" priority="307"/>
  </conditionalFormatting>
  <conditionalFormatting sqref="E585">
    <cfRule type="duplicateValues" dxfId="316" priority="305"/>
    <cfRule type="duplicateValues" dxfId="315" priority="306"/>
    <cfRule type="duplicateValues" dxfId="314" priority="304"/>
    <cfRule type="duplicateValues" dxfId="313" priority="303"/>
  </conditionalFormatting>
  <conditionalFormatting sqref="E587">
    <cfRule type="duplicateValues" dxfId="312" priority="301"/>
    <cfRule type="duplicateValues" dxfId="311" priority="300"/>
    <cfRule type="duplicateValues" dxfId="310" priority="299"/>
    <cfRule type="duplicateValues" dxfId="309" priority="302"/>
  </conditionalFormatting>
  <conditionalFormatting sqref="E588">
    <cfRule type="duplicateValues" dxfId="308" priority="298"/>
    <cfRule type="duplicateValues" dxfId="307" priority="297"/>
    <cfRule type="duplicateValues" dxfId="306" priority="296"/>
    <cfRule type="duplicateValues" dxfId="305" priority="295"/>
  </conditionalFormatting>
  <conditionalFormatting sqref="E592">
    <cfRule type="duplicateValues" dxfId="304" priority="290"/>
    <cfRule type="duplicateValues" dxfId="303" priority="289"/>
    <cfRule type="duplicateValues" dxfId="302" priority="288"/>
    <cfRule type="duplicateValues" dxfId="301" priority="287"/>
  </conditionalFormatting>
  <conditionalFormatting sqref="E593">
    <cfRule type="duplicateValues" dxfId="300" priority="285"/>
    <cfRule type="duplicateValues" dxfId="299" priority="283"/>
    <cfRule type="duplicateValues" dxfId="298" priority="284"/>
    <cfRule type="duplicateValues" dxfId="297" priority="286"/>
  </conditionalFormatting>
  <conditionalFormatting sqref="E594">
    <cfRule type="duplicateValues" dxfId="296" priority="280"/>
    <cfRule type="duplicateValues" dxfId="295" priority="281"/>
    <cfRule type="duplicateValues" dxfId="294" priority="282"/>
    <cfRule type="duplicateValues" dxfId="293" priority="279"/>
  </conditionalFormatting>
  <conditionalFormatting sqref="E599">
    <cfRule type="duplicateValues" dxfId="292" priority="247"/>
    <cfRule type="duplicateValues" dxfId="291" priority="248"/>
    <cfRule type="duplicateValues" dxfId="290" priority="249"/>
    <cfRule type="duplicateValues" dxfId="289" priority="250"/>
  </conditionalFormatting>
  <conditionalFormatting sqref="E600">
    <cfRule type="duplicateValues" dxfId="288" priority="246"/>
    <cfRule type="duplicateValues" dxfId="287" priority="245"/>
    <cfRule type="duplicateValues" dxfId="286" priority="243"/>
    <cfRule type="duplicateValues" dxfId="285" priority="244"/>
  </conditionalFormatting>
  <conditionalFormatting sqref="E601">
    <cfRule type="duplicateValues" dxfId="284" priority="237"/>
    <cfRule type="duplicateValues" dxfId="283" priority="235"/>
    <cfRule type="duplicateValues" dxfId="282" priority="236"/>
    <cfRule type="duplicateValues" dxfId="281" priority="238"/>
  </conditionalFormatting>
  <conditionalFormatting sqref="E604">
    <cfRule type="duplicateValues" dxfId="280" priority="229"/>
    <cfRule type="duplicateValues" dxfId="279" priority="228"/>
    <cfRule type="duplicateValues" dxfId="278" priority="230"/>
    <cfRule type="duplicateValues" dxfId="277" priority="227"/>
  </conditionalFormatting>
  <conditionalFormatting sqref="E606">
    <cfRule type="duplicateValues" dxfId="276" priority="219"/>
    <cfRule type="duplicateValues" dxfId="275" priority="220"/>
    <cfRule type="duplicateValues" dxfId="274" priority="221"/>
    <cfRule type="duplicateValues" dxfId="273" priority="222"/>
  </conditionalFormatting>
  <conditionalFormatting sqref="E609">
    <cfRule type="duplicateValues" dxfId="272" priority="214"/>
    <cfRule type="duplicateValues" dxfId="271" priority="213"/>
    <cfRule type="duplicateValues" dxfId="270" priority="212"/>
    <cfRule type="duplicateValues" dxfId="269" priority="211"/>
  </conditionalFormatting>
  <conditionalFormatting sqref="E610">
    <cfRule type="duplicateValues" dxfId="268" priority="178"/>
    <cfRule type="duplicateValues" dxfId="267" priority="175"/>
    <cfRule type="duplicateValues" dxfId="266" priority="176"/>
    <cfRule type="duplicateValues" dxfId="265" priority="177"/>
  </conditionalFormatting>
  <conditionalFormatting sqref="E611">
    <cfRule type="duplicateValues" dxfId="264" priority="110"/>
    <cfRule type="duplicateValues" dxfId="263" priority="107"/>
    <cfRule type="duplicateValues" dxfId="262" priority="108"/>
    <cfRule type="duplicateValues" dxfId="261" priority="109"/>
  </conditionalFormatting>
  <conditionalFormatting sqref="E612">
    <cfRule type="duplicateValues" dxfId="260" priority="294"/>
    <cfRule type="duplicateValues" dxfId="259" priority="293"/>
    <cfRule type="duplicateValues" dxfId="258" priority="292"/>
    <cfRule type="duplicateValues" dxfId="257" priority="291"/>
  </conditionalFormatting>
  <conditionalFormatting sqref="E614">
    <cfRule type="duplicateValues" dxfId="256" priority="64"/>
    <cfRule type="duplicateValues" dxfId="255" priority="63"/>
    <cfRule type="duplicateValues" dxfId="254" priority="66"/>
    <cfRule type="duplicateValues" dxfId="253" priority="65"/>
  </conditionalFormatting>
  <conditionalFormatting sqref="E621">
    <cfRule type="duplicateValues" dxfId="252" priority="277"/>
    <cfRule type="duplicateValues" dxfId="251" priority="278"/>
    <cfRule type="duplicateValues" dxfId="250" priority="276"/>
    <cfRule type="duplicateValues" dxfId="249" priority="275"/>
  </conditionalFormatting>
  <conditionalFormatting sqref="E622">
    <cfRule type="duplicateValues" dxfId="248" priority="273"/>
    <cfRule type="duplicateValues" dxfId="247" priority="271"/>
    <cfRule type="duplicateValues" dxfId="246" priority="272"/>
    <cfRule type="duplicateValues" dxfId="245" priority="274"/>
  </conditionalFormatting>
  <conditionalFormatting sqref="E623">
    <cfRule type="duplicateValues" dxfId="244" priority="269"/>
    <cfRule type="duplicateValues" dxfId="243" priority="268"/>
    <cfRule type="duplicateValues" dxfId="242" priority="270"/>
    <cfRule type="duplicateValues" dxfId="241" priority="267"/>
  </conditionalFormatting>
  <conditionalFormatting sqref="E624">
    <cfRule type="duplicateValues" dxfId="240" priority="255"/>
    <cfRule type="duplicateValues" dxfId="239" priority="256"/>
    <cfRule type="duplicateValues" dxfId="238" priority="258"/>
    <cfRule type="duplicateValues" dxfId="237" priority="257"/>
  </conditionalFormatting>
  <conditionalFormatting sqref="E625">
    <cfRule type="duplicateValues" dxfId="236" priority="262"/>
    <cfRule type="duplicateValues" dxfId="235" priority="260"/>
    <cfRule type="duplicateValues" dxfId="234" priority="259"/>
    <cfRule type="duplicateValues" dxfId="233" priority="261"/>
  </conditionalFormatting>
  <conditionalFormatting sqref="E626">
    <cfRule type="duplicateValues" dxfId="232" priority="254"/>
    <cfRule type="duplicateValues" dxfId="231" priority="251"/>
    <cfRule type="duplicateValues" dxfId="230" priority="252"/>
    <cfRule type="duplicateValues" dxfId="229" priority="253"/>
  </conditionalFormatting>
  <conditionalFormatting sqref="E627">
    <cfRule type="duplicateValues" dxfId="228" priority="242"/>
    <cfRule type="duplicateValues" dxfId="227" priority="241"/>
    <cfRule type="duplicateValues" dxfId="226" priority="239"/>
    <cfRule type="duplicateValues" dxfId="225" priority="240"/>
  </conditionalFormatting>
  <conditionalFormatting sqref="E628">
    <cfRule type="duplicateValues" dxfId="224" priority="231"/>
    <cfRule type="duplicateValues" dxfId="223" priority="232"/>
    <cfRule type="duplicateValues" dxfId="222" priority="233"/>
    <cfRule type="duplicateValues" dxfId="221" priority="234"/>
  </conditionalFormatting>
  <conditionalFormatting sqref="E631">
    <cfRule type="duplicateValues" dxfId="220" priority="225"/>
    <cfRule type="duplicateValues" dxfId="219" priority="226"/>
    <cfRule type="duplicateValues" dxfId="218" priority="224"/>
    <cfRule type="duplicateValues" dxfId="217" priority="223"/>
  </conditionalFormatting>
  <conditionalFormatting sqref="E634">
    <cfRule type="duplicateValues" dxfId="216" priority="217"/>
    <cfRule type="duplicateValues" dxfId="215" priority="216"/>
    <cfRule type="duplicateValues" dxfId="214" priority="215"/>
    <cfRule type="duplicateValues" dxfId="213" priority="218"/>
  </conditionalFormatting>
  <conditionalFormatting sqref="E638">
    <cfRule type="duplicateValues" dxfId="212" priority="208"/>
    <cfRule type="duplicateValues" dxfId="211" priority="207"/>
    <cfRule type="duplicateValues" dxfId="210" priority="209"/>
    <cfRule type="duplicateValues" dxfId="209" priority="210"/>
  </conditionalFormatting>
  <conditionalFormatting sqref="E639">
    <cfRule type="duplicateValues" dxfId="208" priority="172"/>
    <cfRule type="duplicateValues" dxfId="207" priority="174"/>
    <cfRule type="duplicateValues" dxfId="206" priority="171"/>
    <cfRule type="duplicateValues" dxfId="205" priority="173"/>
  </conditionalFormatting>
  <conditionalFormatting sqref="E640">
    <cfRule type="duplicateValues" dxfId="204" priority="111"/>
    <cfRule type="duplicateValues" dxfId="203" priority="114"/>
    <cfRule type="duplicateValues" dxfId="202" priority="113"/>
    <cfRule type="duplicateValues" dxfId="201" priority="112"/>
  </conditionalFormatting>
  <conditionalFormatting sqref="E641">
    <cfRule type="duplicateValues" dxfId="200" priority="69"/>
    <cfRule type="duplicateValues" dxfId="199" priority="67"/>
    <cfRule type="duplicateValues" dxfId="198" priority="70"/>
    <cfRule type="duplicateValues" dxfId="197" priority="68"/>
  </conditionalFormatting>
  <conditionalFormatting sqref="E642">
    <cfRule type="duplicateValues" dxfId="196" priority="8"/>
    <cfRule type="duplicateValues" dxfId="195" priority="9"/>
    <cfRule type="duplicateValues" dxfId="194" priority="10"/>
    <cfRule type="duplicateValues" dxfId="193" priority="7"/>
  </conditionalFormatting>
  <conditionalFormatting sqref="E660">
    <cfRule type="duplicateValues" dxfId="192" priority="72"/>
    <cfRule type="duplicateValues" dxfId="191" priority="71"/>
    <cfRule type="duplicateValues" dxfId="190" priority="73"/>
    <cfRule type="duplicateValues" dxfId="189" priority="74"/>
  </conditionalFormatting>
  <conditionalFormatting sqref="E661">
    <cfRule type="duplicateValues" dxfId="188" priority="12"/>
    <cfRule type="duplicateValues" dxfId="187" priority="11"/>
    <cfRule type="duplicateValues" dxfId="186" priority="14"/>
    <cfRule type="duplicateValues" dxfId="185" priority="13"/>
  </conditionalFormatting>
  <conditionalFormatting sqref="E662">
    <cfRule type="duplicateValues" dxfId="184" priority="50"/>
    <cfRule type="duplicateValues" dxfId="183" priority="48"/>
    <cfRule type="duplicateValues" dxfId="182" priority="49"/>
    <cfRule type="duplicateValues" dxfId="181" priority="47"/>
  </conditionalFormatting>
  <conditionalFormatting sqref="E679">
    <cfRule type="duplicateValues" dxfId="180" priority="76"/>
    <cfRule type="duplicateValues" dxfId="179" priority="78"/>
    <cfRule type="duplicateValues" dxfId="178" priority="75"/>
    <cfRule type="duplicateValues" dxfId="177" priority="77"/>
  </conditionalFormatting>
  <conditionalFormatting sqref="E680">
    <cfRule type="duplicateValues" dxfId="176" priority="18"/>
    <cfRule type="duplicateValues" dxfId="175" priority="17"/>
    <cfRule type="duplicateValues" dxfId="174" priority="16"/>
    <cfRule type="duplicateValues" dxfId="173" priority="15"/>
  </conditionalFormatting>
  <conditionalFormatting sqref="E681">
    <cfRule type="duplicateValues" dxfId="172" priority="51"/>
    <cfRule type="duplicateValues" dxfId="171" priority="52"/>
    <cfRule type="duplicateValues" dxfId="170" priority="53"/>
    <cfRule type="duplicateValues" dxfId="169" priority="54"/>
  </conditionalFormatting>
  <conditionalFormatting sqref="E686">
    <cfRule type="duplicateValues" dxfId="168" priority="204"/>
    <cfRule type="duplicateValues" dxfId="167" priority="206"/>
    <cfRule type="duplicateValues" dxfId="166" priority="205"/>
    <cfRule type="duplicateValues" dxfId="165" priority="203"/>
  </conditionalFormatting>
  <conditionalFormatting sqref="E687">
    <cfRule type="duplicateValues" dxfId="164" priority="167"/>
    <cfRule type="duplicateValues" dxfId="163" priority="168"/>
    <cfRule type="duplicateValues" dxfId="162" priority="169"/>
    <cfRule type="duplicateValues" dxfId="161" priority="170"/>
  </conditionalFormatting>
  <conditionalFormatting sqref="E688">
    <cfRule type="duplicateValues" dxfId="160" priority="117"/>
    <cfRule type="duplicateValues" dxfId="159" priority="116"/>
    <cfRule type="duplicateValues" dxfId="158" priority="115"/>
    <cfRule type="duplicateValues" dxfId="157" priority="118"/>
  </conditionalFormatting>
  <conditionalFormatting sqref="E690">
    <cfRule type="duplicateValues" dxfId="156" priority="81"/>
    <cfRule type="duplicateValues" dxfId="155" priority="82"/>
    <cfRule type="duplicateValues" dxfId="154" priority="79"/>
    <cfRule type="duplicateValues" dxfId="153" priority="80"/>
  </conditionalFormatting>
  <conditionalFormatting sqref="E691">
    <cfRule type="duplicateValues" dxfId="152" priority="21"/>
    <cfRule type="duplicateValues" dxfId="151" priority="20"/>
    <cfRule type="duplicateValues" dxfId="150" priority="19"/>
    <cfRule type="duplicateValues" dxfId="149" priority="22"/>
  </conditionalFormatting>
  <conditionalFormatting sqref="E694">
    <cfRule type="duplicateValues" dxfId="148" priority="58"/>
    <cfRule type="duplicateValues" dxfId="147" priority="57"/>
    <cfRule type="duplicateValues" dxfId="146" priority="56"/>
    <cfRule type="duplicateValues" dxfId="145" priority="55"/>
  </conditionalFormatting>
  <conditionalFormatting sqref="E700">
    <cfRule type="duplicateValues" dxfId="144" priority="179"/>
    <cfRule type="duplicateValues" dxfId="143" priority="180"/>
    <cfRule type="duplicateValues" dxfId="142" priority="182"/>
    <cfRule type="duplicateValues" dxfId="141" priority="181"/>
  </conditionalFormatting>
  <conditionalFormatting sqref="E701">
    <cfRule type="duplicateValues" dxfId="140" priority="144"/>
    <cfRule type="duplicateValues" dxfId="139" priority="146"/>
    <cfRule type="duplicateValues" dxfId="138" priority="145"/>
    <cfRule type="duplicateValues" dxfId="137" priority="143"/>
  </conditionalFormatting>
  <conditionalFormatting sqref="E702">
    <cfRule type="duplicateValues" dxfId="136" priority="121"/>
    <cfRule type="duplicateValues" dxfId="135" priority="122"/>
    <cfRule type="duplicateValues" dxfId="134" priority="120"/>
    <cfRule type="duplicateValues" dxfId="133" priority="119"/>
  </conditionalFormatting>
  <conditionalFormatting sqref="E704">
    <cfRule type="duplicateValues" dxfId="132" priority="86"/>
    <cfRule type="duplicateValues" dxfId="131" priority="85"/>
    <cfRule type="duplicateValues" dxfId="130" priority="84"/>
    <cfRule type="duplicateValues" dxfId="129" priority="83"/>
  </conditionalFormatting>
  <conditionalFormatting sqref="E705">
    <cfRule type="duplicateValues" dxfId="128" priority="24"/>
    <cfRule type="duplicateValues" dxfId="127" priority="23"/>
    <cfRule type="duplicateValues" dxfId="126" priority="25"/>
    <cfRule type="duplicateValues" dxfId="125" priority="26"/>
  </conditionalFormatting>
  <conditionalFormatting sqref="E712">
    <cfRule type="duplicateValues" dxfId="124" priority="183"/>
    <cfRule type="duplicateValues" dxfId="123" priority="185"/>
    <cfRule type="duplicateValues" dxfId="122" priority="186"/>
    <cfRule type="duplicateValues" dxfId="121" priority="184"/>
  </conditionalFormatting>
  <conditionalFormatting sqref="E713">
    <cfRule type="duplicateValues" dxfId="120" priority="150"/>
    <cfRule type="duplicateValues" dxfId="119" priority="148"/>
    <cfRule type="duplicateValues" dxfId="118" priority="147"/>
    <cfRule type="duplicateValues" dxfId="117" priority="149"/>
  </conditionalFormatting>
  <conditionalFormatting sqref="E714">
    <cfRule type="duplicateValues" dxfId="116" priority="123"/>
    <cfRule type="duplicateValues" dxfId="115" priority="124"/>
    <cfRule type="duplicateValues" dxfId="114" priority="125"/>
    <cfRule type="duplicateValues" dxfId="113" priority="126"/>
  </conditionalFormatting>
  <conditionalFormatting sqref="E716">
    <cfRule type="duplicateValues" dxfId="112" priority="89"/>
    <cfRule type="duplicateValues" dxfId="111" priority="90"/>
    <cfRule type="duplicateValues" dxfId="110" priority="88"/>
    <cfRule type="duplicateValues" dxfId="109" priority="87"/>
  </conditionalFormatting>
  <conditionalFormatting sqref="E717">
    <cfRule type="duplicateValues" dxfId="108" priority="27"/>
    <cfRule type="duplicateValues" dxfId="107" priority="28"/>
    <cfRule type="duplicateValues" dxfId="106" priority="29"/>
    <cfRule type="duplicateValues" dxfId="105" priority="30"/>
  </conditionalFormatting>
  <conditionalFormatting sqref="E721">
    <cfRule type="duplicateValues" dxfId="104" priority="59"/>
    <cfRule type="duplicateValues" dxfId="103" priority="60"/>
    <cfRule type="duplicateValues" dxfId="102" priority="61"/>
    <cfRule type="duplicateValues" dxfId="101" priority="62"/>
  </conditionalFormatting>
  <conditionalFormatting sqref="E724">
    <cfRule type="duplicateValues" dxfId="100" priority="187"/>
    <cfRule type="duplicateValues" dxfId="99" priority="188"/>
    <cfRule type="duplicateValues" dxfId="98" priority="189"/>
    <cfRule type="duplicateValues" dxfId="97" priority="190"/>
  </conditionalFormatting>
  <conditionalFormatting sqref="E725">
    <cfRule type="duplicateValues" dxfId="96" priority="154"/>
    <cfRule type="duplicateValues" dxfId="95" priority="153"/>
    <cfRule type="duplicateValues" dxfId="94" priority="151"/>
    <cfRule type="duplicateValues" dxfId="93" priority="152"/>
  </conditionalFormatting>
  <conditionalFormatting sqref="E726">
    <cfRule type="duplicateValues" dxfId="92" priority="128"/>
    <cfRule type="duplicateValues" dxfId="91" priority="130"/>
    <cfRule type="duplicateValues" dxfId="90" priority="127"/>
    <cfRule type="duplicateValues" dxfId="89" priority="129"/>
  </conditionalFormatting>
  <conditionalFormatting sqref="E728">
    <cfRule type="duplicateValues" dxfId="88" priority="92"/>
    <cfRule type="duplicateValues" dxfId="87" priority="94"/>
    <cfRule type="duplicateValues" dxfId="86" priority="93"/>
    <cfRule type="duplicateValues" dxfId="85" priority="91"/>
  </conditionalFormatting>
  <conditionalFormatting sqref="E729">
    <cfRule type="duplicateValues" dxfId="84" priority="31"/>
    <cfRule type="duplicateValues" dxfId="83" priority="34"/>
    <cfRule type="duplicateValues" dxfId="82" priority="33"/>
    <cfRule type="duplicateValues" dxfId="81" priority="32"/>
  </conditionalFormatting>
  <conditionalFormatting sqref="E737">
    <cfRule type="duplicateValues" dxfId="80" priority="194"/>
    <cfRule type="duplicateValues" dxfId="79" priority="193"/>
    <cfRule type="duplicateValues" dxfId="78" priority="191"/>
    <cfRule type="duplicateValues" dxfId="77" priority="192"/>
  </conditionalFormatting>
  <conditionalFormatting sqref="E738">
    <cfRule type="duplicateValues" dxfId="76" priority="157"/>
    <cfRule type="duplicateValues" dxfId="75" priority="158"/>
    <cfRule type="duplicateValues" dxfId="74" priority="155"/>
    <cfRule type="duplicateValues" dxfId="73" priority="156"/>
  </conditionalFormatting>
  <conditionalFormatting sqref="E739">
    <cfRule type="duplicateValues" dxfId="72" priority="133"/>
    <cfRule type="duplicateValues" dxfId="71" priority="134"/>
    <cfRule type="duplicateValues" dxfId="70" priority="131"/>
    <cfRule type="duplicateValues" dxfId="69" priority="132"/>
  </conditionalFormatting>
  <conditionalFormatting sqref="E741">
    <cfRule type="duplicateValues" dxfId="68" priority="95"/>
    <cfRule type="duplicateValues" dxfId="67" priority="96"/>
    <cfRule type="duplicateValues" dxfId="66" priority="97"/>
    <cfRule type="duplicateValues" dxfId="65" priority="98"/>
  </conditionalFormatting>
  <conditionalFormatting sqref="E742">
    <cfRule type="duplicateValues" dxfId="64" priority="38"/>
    <cfRule type="duplicateValues" dxfId="63" priority="37"/>
    <cfRule type="duplicateValues" dxfId="62" priority="36"/>
    <cfRule type="duplicateValues" dxfId="61" priority="35"/>
  </conditionalFormatting>
  <conditionalFormatting sqref="E751">
    <cfRule type="duplicateValues" dxfId="60" priority="202"/>
    <cfRule type="duplicateValues" dxfId="59" priority="201"/>
    <cfRule type="duplicateValues" dxfId="58" priority="199"/>
    <cfRule type="duplicateValues" dxfId="57" priority="200"/>
  </conditionalFormatting>
  <conditionalFormatting sqref="E752">
    <cfRule type="duplicateValues" dxfId="56" priority="159"/>
    <cfRule type="duplicateValues" dxfId="55" priority="160"/>
    <cfRule type="duplicateValues" dxfId="54" priority="161"/>
    <cfRule type="duplicateValues" dxfId="53" priority="162"/>
  </conditionalFormatting>
  <conditionalFormatting sqref="E753">
    <cfRule type="duplicateValues" dxfId="52" priority="138"/>
    <cfRule type="duplicateValues" dxfId="51" priority="137"/>
    <cfRule type="duplicateValues" dxfId="50" priority="136"/>
    <cfRule type="duplicateValues" dxfId="49" priority="135"/>
  </conditionalFormatting>
  <conditionalFormatting sqref="E757">
    <cfRule type="duplicateValues" dxfId="48" priority="101"/>
    <cfRule type="duplicateValues" dxfId="47" priority="100"/>
    <cfRule type="duplicateValues" dxfId="46" priority="99"/>
    <cfRule type="duplicateValues" dxfId="45" priority="102"/>
  </conditionalFormatting>
  <conditionalFormatting sqref="E758">
    <cfRule type="duplicateValues" dxfId="44" priority="41"/>
    <cfRule type="duplicateValues" dxfId="43" priority="40"/>
    <cfRule type="duplicateValues" dxfId="42" priority="39"/>
    <cfRule type="duplicateValues" dxfId="41" priority="42"/>
  </conditionalFormatting>
  <conditionalFormatting sqref="E768">
    <cfRule type="duplicateValues" dxfId="40" priority="198"/>
    <cfRule type="duplicateValues" dxfId="39" priority="197"/>
    <cfRule type="duplicateValues" dxfId="38" priority="196"/>
    <cfRule type="duplicateValues" dxfId="37" priority="195"/>
  </conditionalFormatting>
  <conditionalFormatting sqref="E769">
    <cfRule type="duplicateValues" dxfId="36" priority="163"/>
    <cfRule type="duplicateValues" dxfId="35" priority="164"/>
    <cfRule type="duplicateValues" dxfId="34" priority="165"/>
    <cfRule type="duplicateValues" dxfId="33" priority="166"/>
  </conditionalFormatting>
  <conditionalFormatting sqref="E770">
    <cfRule type="duplicateValues" dxfId="32" priority="142"/>
    <cfRule type="duplicateValues" dxfId="31" priority="139"/>
    <cfRule type="duplicateValues" dxfId="30" priority="140"/>
    <cfRule type="duplicateValues" dxfId="29" priority="141"/>
  </conditionalFormatting>
  <conditionalFormatting sqref="E774">
    <cfRule type="duplicateValues" dxfId="28" priority="106"/>
    <cfRule type="duplicateValues" dxfId="27" priority="105"/>
    <cfRule type="duplicateValues" dxfId="26" priority="104"/>
    <cfRule type="duplicateValues" dxfId="25" priority="103"/>
  </conditionalFormatting>
  <conditionalFormatting sqref="E775">
    <cfRule type="duplicateValues" dxfId="24" priority="46"/>
    <cfRule type="duplicateValues" dxfId="23" priority="45"/>
    <cfRule type="duplicateValues" dxfId="22" priority="44"/>
    <cfRule type="duplicateValues" dxfId="21" priority="43"/>
  </conditionalFormatting>
  <conditionalFormatting sqref="H3:I815">
    <cfRule type="expression" dxfId="20" priority="620">
      <formula>$B3="Funkcna poziadavka"</formula>
    </cfRule>
  </conditionalFormatting>
  <conditionalFormatting sqref="J3:P815">
    <cfRule type="expression" dxfId="19" priority="622">
      <formula>$B3="funkcna poziadavka"</formula>
    </cfRule>
  </conditionalFormatting>
  <dataValidations count="3">
    <dataValidation type="list" allowBlank="1" showInputMessage="1" showErrorMessage="1" sqref="I3:I815" xr:uid="{00000000-0002-0000-0B00-000000000000}">
      <formula1>"5,10,15"</formula1>
    </dataValidation>
    <dataValidation type="list" allowBlank="1" showInputMessage="1" showErrorMessage="1" sqref="B3:B815" xr:uid="{90060EB2-8756-0A4E-8C27-EA510DA1ED46}">
      <formula1>"Funkcna poziadavka, Ne-Funkcna poziadavka, Technicka poziadavka"</formula1>
    </dataValidation>
    <dataValidation type="list" allowBlank="1" showInputMessage="1" showErrorMessage="1" sqref="G3:G1048576" xr:uid="{00000000-0002-0000-0B00-000001000000}">
      <formula1>Moduly_2</formula1>
    </dataValidation>
  </dataValidations>
  <pageMargins left="0.7" right="0.7" top="0.75" bottom="0.75" header="0.3" footer="0.3"/>
  <pageSetup paperSize="9" orientation="portrait" horizontalDpi="4294967293" verticalDpi="12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zoomScale="163" workbookViewId="0">
      <pane xSplit="2" ySplit="4" topLeftCell="D5" activePane="bottomRight" state="frozen"/>
      <selection pane="topRight" activeCell="C1" sqref="C1"/>
      <selection pane="bottomLeft" activeCell="A5" sqref="A5"/>
      <selection pane="bottomRight" activeCell="F17" sqref="F17"/>
    </sheetView>
  </sheetViews>
  <sheetFormatPr defaultColWidth="8.85546875" defaultRowHeight="12.75"/>
  <cols>
    <col min="1" max="1" width="40" style="407" customWidth="1"/>
    <col min="2" max="2" width="11.140625" style="407" customWidth="1"/>
    <col min="3" max="3" width="11.140625" style="407" hidden="1" customWidth="1"/>
    <col min="4" max="4" width="55.42578125" style="407" customWidth="1"/>
    <col min="5" max="7" width="10.85546875" style="407" customWidth="1"/>
    <col min="8" max="16384" width="8.85546875" style="407"/>
  </cols>
  <sheetData>
    <row r="1" spans="1:7" ht="13.5" thickBot="1">
      <c r="A1" s="608" t="s">
        <v>1277</v>
      </c>
      <c r="B1" s="607">
        <f>SUM(G5:G17)</f>
        <v>58</v>
      </c>
      <c r="C1" s="607"/>
    </row>
    <row r="2" spans="1:7" ht="13.5" thickBot="1">
      <c r="A2" s="608" t="s">
        <v>227</v>
      </c>
      <c r="B2" s="611">
        <f>0.6 + (0.01*B1)</f>
        <v>1.18</v>
      </c>
      <c r="C2" s="612"/>
    </row>
    <row r="4" spans="1:7" s="620" customFormat="1">
      <c r="A4" s="616" t="s">
        <v>207</v>
      </c>
      <c r="B4" s="617" t="s">
        <v>1278</v>
      </c>
      <c r="C4" s="616" t="s">
        <v>1279</v>
      </c>
      <c r="D4" s="616" t="s">
        <v>1280</v>
      </c>
      <c r="E4" s="618" t="s">
        <v>1281</v>
      </c>
      <c r="F4" s="619" t="s">
        <v>277</v>
      </c>
      <c r="G4" s="619" t="s">
        <v>1282</v>
      </c>
    </row>
    <row r="5" spans="1:7" ht="36" customHeight="1">
      <c r="A5" s="603" t="s">
        <v>1283</v>
      </c>
      <c r="B5" s="602" t="s">
        <v>278</v>
      </c>
      <c r="C5" s="602">
        <v>1</v>
      </c>
      <c r="D5" s="614" t="str">
        <f>HLOOKUP(F5,Parametre_ECF_TCF!$B$1:$G$14,TCF_v02!C5+1,0)</f>
        <v>Aplikačné spracovanie je distribuované a údaje sa prenášajú iba jedným smerom.</v>
      </c>
      <c r="E5" s="604">
        <v>1</v>
      </c>
      <c r="F5" s="605">
        <v>3</v>
      </c>
      <c r="G5" s="606">
        <f>E5*F5</f>
        <v>3</v>
      </c>
    </row>
    <row r="6" spans="1:7" ht="114.75">
      <c r="A6" s="603" t="s">
        <v>1284</v>
      </c>
      <c r="B6" s="602" t="s">
        <v>285</v>
      </c>
      <c r="C6" s="602">
        <v>2</v>
      </c>
      <c r="D6" s="614"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v>
      </c>
      <c r="E6" s="604">
        <v>1</v>
      </c>
      <c r="F6" s="605">
        <v>5</v>
      </c>
      <c r="G6" s="606">
        <f t="shared" ref="G6:G17" si="0">E6*F6</f>
        <v>5</v>
      </c>
    </row>
    <row r="7" spans="1:7" ht="178.5">
      <c r="A7" s="603" t="s">
        <v>1285</v>
      </c>
      <c r="B7" s="602" t="s">
        <v>292</v>
      </c>
      <c r="C7" s="602">
        <v>3</v>
      </c>
      <c r="D7" s="614" t="str">
        <f>HLOOKUP(F7,Parametre_ECF_TCF!$B$1:$G$14,TCF_v02!C7+1,0)</f>
        <v>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4">
        <v>1</v>
      </c>
      <c r="F7" s="605">
        <v>4</v>
      </c>
      <c r="G7" s="606">
        <f t="shared" si="0"/>
        <v>4</v>
      </c>
    </row>
    <row r="8" spans="1:7" ht="153">
      <c r="A8" s="603" t="s">
        <v>1286</v>
      </c>
      <c r="B8" s="602" t="s">
        <v>299</v>
      </c>
      <c r="C8" s="602">
        <v>4</v>
      </c>
      <c r="D8" s="614" t="str">
        <f>HLOOKUP(F8,Parametre_ECF_TCF!$B$1:$G$14,TCF_v02!C8+1,0)</f>
        <v>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4">
        <v>1</v>
      </c>
      <c r="F8" s="605">
        <v>5</v>
      </c>
      <c r="G8" s="606">
        <f t="shared" si="0"/>
        <v>5</v>
      </c>
    </row>
    <row r="9" spans="1:7" ht="25.5">
      <c r="A9" s="603" t="s">
        <v>1287</v>
      </c>
      <c r="B9" s="602" t="s">
        <v>306</v>
      </c>
      <c r="C9" s="602">
        <v>5</v>
      </c>
      <c r="D9" s="614" t="str">
        <f>HLOOKUP(F9,Parametre_ECF_TCF!$B$1:$G$14,TCF_v02!C9+1,0)</f>
        <v>10% alebo viac aplikácie musí brať do úvahy viac, ako potrebuje používateľ.</v>
      </c>
      <c r="E9" s="604">
        <v>1</v>
      </c>
      <c r="F9" s="605">
        <v>3</v>
      </c>
      <c r="G9" s="606">
        <f t="shared" si="0"/>
        <v>3</v>
      </c>
    </row>
    <row r="10" spans="1:7" ht="63.75">
      <c r="A10" s="603" t="s">
        <v>1288</v>
      </c>
      <c r="B10" s="602" t="s">
        <v>313</v>
      </c>
      <c r="C10" s="602">
        <v>6</v>
      </c>
      <c r="D10" s="614" t="str">
        <f>HLOOKUP(F10,Parametre_ECF_TCF!$B$1:$G$14,TCF_v02!C10+1,0)</f>
        <v>Musia byť poskytnuté a otestované požiadavky stanovené klientom na prevod a inštaláciu údajov a príručky na prevod a inštaláciu. Dopad konverzie na projekt je značný.
Zároveň musia byť poskytnuté a vyskúšané nástroje na automatickú konverziu a inštaláciu.</v>
      </c>
      <c r="E10" s="604">
        <v>0.5</v>
      </c>
      <c r="F10" s="605">
        <v>5</v>
      </c>
      <c r="G10" s="606">
        <f t="shared" si="0"/>
        <v>2.5</v>
      </c>
    </row>
    <row r="11" spans="1:7">
      <c r="A11" s="603" t="s">
        <v>1289</v>
      </c>
      <c r="B11" s="602" t="s">
        <v>320</v>
      </c>
      <c r="C11" s="602">
        <v>7</v>
      </c>
      <c r="D11" s="614" t="str">
        <f>HLOOKUP(F11,Parametre_ECF_TCF!$B$1:$G$14,TCF_v02!C11+1,0)</f>
        <v>Aplikácia je navrhnutá tak, aby fungovala bez dozoru.</v>
      </c>
      <c r="E11" s="604">
        <v>0.5</v>
      </c>
      <c r="F11" s="605">
        <v>5</v>
      </c>
      <c r="G11" s="606">
        <f t="shared" si="0"/>
        <v>2.5</v>
      </c>
    </row>
    <row r="12" spans="1:7" ht="63.75">
      <c r="A12" s="603" t="s">
        <v>1290</v>
      </c>
      <c r="B12" s="602" t="s">
        <v>327</v>
      </c>
      <c r="C12" s="602">
        <v>8</v>
      </c>
      <c r="D12" s="614" t="str">
        <f>HLOOKUP(F12,Parametre_ECF_TCF!$B$1:$G$14,TCF_v02!C12+1,0)</f>
        <v>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v>
      </c>
      <c r="E12" s="604">
        <v>2</v>
      </c>
      <c r="F12" s="605">
        <v>5</v>
      </c>
      <c r="G12" s="606">
        <f t="shared" si="0"/>
        <v>10</v>
      </c>
    </row>
    <row r="13" spans="1:7" ht="229.5">
      <c r="A13" s="603" t="s">
        <v>1291</v>
      </c>
      <c r="B13" s="602" t="s">
        <v>334</v>
      </c>
      <c r="C13" s="602">
        <v>9</v>
      </c>
      <c r="D13" s="614" t="str">
        <f>HLOOKUP(F13,Parametre_ECF_TCF!$B$1:$G$14,TCF_v02!C13+1,0)</f>
        <v>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4">
        <v>1</v>
      </c>
      <c r="F13" s="605">
        <v>5</v>
      </c>
      <c r="G13" s="606">
        <f t="shared" si="0"/>
        <v>5</v>
      </c>
    </row>
    <row r="14" spans="1:7" ht="38.25">
      <c r="A14" s="603" t="s">
        <v>1292</v>
      </c>
      <c r="B14" s="602" t="s">
        <v>340</v>
      </c>
      <c r="C14" s="602">
        <v>10</v>
      </c>
      <c r="D14" s="614" t="str">
        <f>HLOOKUP(F14,Parametre_ECF_TCF!$B$1:$G$14,TCF_v02!C14+1,0)</f>
        <v>Súčasný prístup k údajom sa očakáva neustále a zároveň, si táto situácia vynúti úlohy analýzy výkonu a zablokovanie riešenia počas návrhu.
Pričom budú potrebné na kontrolu prístupu aj špeciálne nástroje.</v>
      </c>
      <c r="E14" s="604">
        <v>1</v>
      </c>
      <c r="F14" s="605">
        <v>5</v>
      </c>
      <c r="G14" s="606">
        <f t="shared" si="0"/>
        <v>5</v>
      </c>
    </row>
    <row r="15" spans="1:7" ht="89.25">
      <c r="A15" s="603" t="s">
        <v>1293</v>
      </c>
      <c r="B15" s="602" t="s">
        <v>347</v>
      </c>
      <c r="C15" s="602">
        <v>11</v>
      </c>
      <c r="D15" s="614" t="str">
        <f>HLOOKUP(F15,Parametre_ECF_TCF!$B$1:$G$14,TCF_v02!C15+1,0)</f>
        <v>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v>
      </c>
      <c r="E15" s="604">
        <v>1</v>
      </c>
      <c r="F15" s="605">
        <v>5</v>
      </c>
      <c r="G15" s="606">
        <f t="shared" si="0"/>
        <v>5</v>
      </c>
    </row>
    <row r="16" spans="1:7" ht="36" customHeight="1">
      <c r="A16" s="603" t="s">
        <v>1294</v>
      </c>
      <c r="B16" s="602" t="s">
        <v>354</v>
      </c>
      <c r="C16" s="602">
        <v>12</v>
      </c>
      <c r="D16" s="614" t="str">
        <f>HLOOKUP(F16,Parametre_ECF_TCF!$B$1:$G$14,TCF_v02!C16+1,0)</f>
        <v>Predbežný kód, ktorý je nakoniec potrebné upraviť, sa použije v malých častiach aplikácie.</v>
      </c>
      <c r="E16" s="604">
        <v>1</v>
      </c>
      <c r="F16" s="605">
        <v>3</v>
      </c>
      <c r="G16" s="606">
        <f t="shared" si="0"/>
        <v>3</v>
      </c>
    </row>
    <row r="17" spans="1:7" ht="40.35" customHeight="1">
      <c r="A17" s="603" t="s">
        <v>1295</v>
      </c>
      <c r="B17" s="602" t="s">
        <v>361</v>
      </c>
      <c r="C17" s="602">
        <v>13</v>
      </c>
      <c r="D17" s="614" t="str">
        <f>HLOOKUP(F17,Parametre_ECF_TCF!$B$1:$G$14,TCF_v02!C17+1,0)</f>
        <v>Pre prechodnú fázu musí byť vypracovaný a vykonaný podrobný plán výcviku a používatelia sú geograficky rozdelení.</v>
      </c>
      <c r="E17" s="604">
        <v>1</v>
      </c>
      <c r="F17" s="605">
        <v>5</v>
      </c>
      <c r="G17" s="606">
        <f t="shared" si="0"/>
        <v>5</v>
      </c>
    </row>
  </sheetData>
  <conditionalFormatting sqref="F5:G17">
    <cfRule type="expression" dxfId="18" priority="1">
      <formula>#REF!="NIE"</formula>
    </cfRule>
    <cfRule type="expression" dxfId="17"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zoomScale="184" workbookViewId="0">
      <pane ySplit="4" topLeftCell="A5" activePane="bottomLeft" state="frozen"/>
      <selection pane="bottomLeft" activeCell="F11" sqref="F11"/>
    </sheetView>
  </sheetViews>
  <sheetFormatPr defaultColWidth="8.85546875" defaultRowHeight="12.75"/>
  <cols>
    <col min="1" max="1" width="40" style="407" customWidth="1"/>
    <col min="2" max="2" width="11.140625" style="407" customWidth="1"/>
    <col min="3" max="3" width="10.85546875" style="407" hidden="1" customWidth="1"/>
    <col min="4" max="4" width="55.7109375" style="407" customWidth="1"/>
    <col min="5" max="7" width="10.7109375" style="407" customWidth="1"/>
    <col min="8" max="16384" width="8.85546875" style="407"/>
  </cols>
  <sheetData>
    <row r="1" spans="1:7" ht="13.5" thickBot="1">
      <c r="A1" s="608" t="s">
        <v>1277</v>
      </c>
      <c r="B1" s="607">
        <f>SUM(G5:G12)</f>
        <v>15.5</v>
      </c>
      <c r="C1" s="607"/>
    </row>
    <row r="2" spans="1:7" ht="13.5" thickBot="1">
      <c r="A2" s="608" t="s">
        <v>227</v>
      </c>
      <c r="B2" s="611">
        <f>1.4 + (-0.03*B1)</f>
        <v>0.93499999999999994</v>
      </c>
      <c r="C2" s="612"/>
    </row>
    <row r="4" spans="1:7" s="620" customFormat="1">
      <c r="A4" s="616" t="s">
        <v>207</v>
      </c>
      <c r="B4" s="617" t="s">
        <v>1278</v>
      </c>
      <c r="C4" s="616" t="s">
        <v>1279</v>
      </c>
      <c r="D4" s="616" t="s">
        <v>1280</v>
      </c>
      <c r="E4" s="618" t="s">
        <v>1281</v>
      </c>
      <c r="F4" s="619" t="s">
        <v>277</v>
      </c>
      <c r="G4" s="619" t="s">
        <v>1282</v>
      </c>
    </row>
    <row r="5" spans="1:7" ht="45.6" customHeight="1">
      <c r="A5" s="610" t="s">
        <v>1296</v>
      </c>
      <c r="B5" s="609" t="s">
        <v>368</v>
      </c>
      <c r="C5" s="609">
        <v>1</v>
      </c>
      <c r="D5" s="614" t="str">
        <f>HLOOKUP(F5,Parametre_ECF_TCF!$B$1:$G$50,ECF_v02!C5+14,0)</f>
        <v>Niekoľko členov tímu využilo postup vo viac ako jednom projekte.</v>
      </c>
      <c r="E5" s="604">
        <v>1.5</v>
      </c>
      <c r="F5" s="605">
        <v>3</v>
      </c>
      <c r="G5" s="606">
        <f>E5*F5</f>
        <v>4.5</v>
      </c>
    </row>
    <row r="6" spans="1:7" ht="45.6" customHeight="1">
      <c r="A6" s="610" t="s">
        <v>1297</v>
      </c>
      <c r="B6" s="602" t="s">
        <v>375</v>
      </c>
      <c r="C6" s="602">
        <v>2</v>
      </c>
      <c r="D6" s="614" t="str">
        <f>HLOOKUP(F6,Parametre_ECF_TCF!$B$1:$G$50,ECF_v02!C6+14,0)</f>
        <v>Väčšina členov tímu má viac ako dvojročné skúsenosti v rovnakej oblasti.</v>
      </c>
      <c r="E6" s="604">
        <v>0.5</v>
      </c>
      <c r="F6" s="605">
        <v>4</v>
      </c>
      <c r="G6" s="606">
        <f t="shared" ref="G6:G12" si="0">E6*F6</f>
        <v>2</v>
      </c>
    </row>
    <row r="7" spans="1:7" ht="45.6" customHeight="1">
      <c r="A7" s="610" t="s">
        <v>1298</v>
      </c>
      <c r="B7" s="602" t="s">
        <v>382</v>
      </c>
      <c r="C7" s="602">
        <v>3</v>
      </c>
      <c r="D7" s="614" t="str">
        <f>HLOOKUP(F7,Parametre_ECF_TCF!$B$1:$G$50,ECF_v02!C7+14,0)</f>
        <v>Väčšina členov tímu má viac ako dvojročné skúsenosti s objektovo orientovanými technikami.</v>
      </c>
      <c r="E7" s="604">
        <v>1</v>
      </c>
      <c r="F7" s="605">
        <v>4</v>
      </c>
      <c r="G7" s="606">
        <f t="shared" si="0"/>
        <v>4</v>
      </c>
    </row>
    <row r="8" spans="1:7" ht="45.6" customHeight="1">
      <c r="A8" s="610" t="s">
        <v>1299</v>
      </c>
      <c r="B8" s="602" t="s">
        <v>389</v>
      </c>
      <c r="C8" s="602">
        <v>4</v>
      </c>
      <c r="D8" s="614" t="str">
        <f>HLOOKUP(F8,Parametre_ECF_TCF!$B$1:$G$50,ECF_v02!C8+14,0)</f>
        <v>Vedúci analytik má viac ako dvojročné skúsenosti s podobnými projektmi.</v>
      </c>
      <c r="E8" s="604">
        <v>0.5</v>
      </c>
      <c r="F8" s="605">
        <v>4</v>
      </c>
      <c r="G8" s="606">
        <f t="shared" si="0"/>
        <v>2</v>
      </c>
    </row>
    <row r="9" spans="1:7" ht="45.6" customHeight="1">
      <c r="A9" s="610" t="s">
        <v>1300</v>
      </c>
      <c r="B9" s="602" t="s">
        <v>396</v>
      </c>
      <c r="C9" s="602">
        <v>5</v>
      </c>
      <c r="D9" s="614" t="str">
        <f>HLOOKUP(F9,Parametre_ECF_TCF!$B$1:$G$50,ECF_v02!C9+14,0)</f>
        <v>Tím má určitú motiváciu. Tím má zvyčajne iniciatívu, ale na udržanie produktivity je stále nevyhnutný zásah manažmentu.</v>
      </c>
      <c r="E9" s="604">
        <v>1</v>
      </c>
      <c r="F9" s="605">
        <v>3</v>
      </c>
      <c r="G9" s="606">
        <f t="shared" si="0"/>
        <v>3</v>
      </c>
    </row>
    <row r="10" spans="1:7" ht="45.6" customHeight="1">
      <c r="A10" s="610" t="s">
        <v>1301</v>
      </c>
      <c r="B10" s="602" t="s">
        <v>403</v>
      </c>
      <c r="C10" s="602">
        <v>6</v>
      </c>
      <c r="D10" s="614" t="str">
        <f>HLOOKUP(F10,Parametre_ECF_TCF!$B$1:$G$50,ECF_v02!C10+14,0)</f>
        <v>Požiadavky boli v minulosti pomerne stabilné. Klienti požiadali o zmeny sekundárnych funkcionalít s určitou pravidelnosťou. Zmeny hlavných funkcií boli žiadané zriedka.</v>
      </c>
      <c r="E10" s="604">
        <v>2</v>
      </c>
      <c r="F10" s="605">
        <v>3</v>
      </c>
      <c r="G10" s="606">
        <f t="shared" si="0"/>
        <v>6</v>
      </c>
    </row>
    <row r="11" spans="1:7" ht="45.6" customHeight="1">
      <c r="A11" s="610" t="s">
        <v>1302</v>
      </c>
      <c r="B11" s="602" t="s">
        <v>410</v>
      </c>
      <c r="C11" s="602">
        <v>7</v>
      </c>
      <c r="D11" s="614" t="str">
        <f>HLOOKUP(F11,Parametre_ECF_TCF!$B$1:$G$50,ECF_v02!C11+14,0)</f>
        <v>Až 40% tímu je na čiastočný úväzok.</v>
      </c>
      <c r="E11" s="604">
        <v>-1</v>
      </c>
      <c r="F11" s="605">
        <v>3</v>
      </c>
      <c r="G11" s="606">
        <f t="shared" si="0"/>
        <v>-3</v>
      </c>
    </row>
    <row r="12" spans="1:7" ht="45.6" customHeight="1">
      <c r="A12" s="610" t="s">
        <v>1303</v>
      </c>
      <c r="B12" s="602" t="s">
        <v>417</v>
      </c>
      <c r="C12" s="613">
        <v>8</v>
      </c>
      <c r="D12" s="614" t="str">
        <f>HLOOKUP(F12,Parametre_ECF_TCF!$B$1:$G$50,ECF_v02!C12+14,0)</f>
        <v>Väčšina členov tímu má najmenej 18 mesiacov skúseností s programovaním.</v>
      </c>
      <c r="E12" s="604">
        <v>-1</v>
      </c>
      <c r="F12" s="605">
        <v>3</v>
      </c>
      <c r="G12" s="606">
        <f t="shared" si="0"/>
        <v>-3</v>
      </c>
    </row>
  </sheetData>
  <phoneticPr fontId="58" type="noConversion"/>
  <conditionalFormatting sqref="F5:G12">
    <cfRule type="expression" dxfId="16" priority="1">
      <formula>#REF!="NIE"</formula>
    </cfRule>
    <cfRule type="expression" dxfId="15"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zoomScale="200" workbookViewId="0">
      <pane xSplit="2" ySplit="5" topLeftCell="C6" activePane="bottomRight" state="frozen"/>
      <selection pane="topRight" activeCell="I3" sqref="I3"/>
      <selection pane="bottomLeft" activeCell="I3" sqref="I3"/>
      <selection pane="bottomRight" activeCell="H12" sqref="H12"/>
    </sheetView>
  </sheetViews>
  <sheetFormatPr defaultColWidth="8.85546875" defaultRowHeight="12.75"/>
  <cols>
    <col min="1" max="1" width="26.28515625" style="407" customWidth="1"/>
    <col min="2" max="2" width="13.28515625" style="407" bestFit="1" customWidth="1"/>
    <col min="3" max="16" width="11.7109375" style="407" customWidth="1"/>
    <col min="17" max="16384" width="8.85546875" style="407"/>
  </cols>
  <sheetData>
    <row r="1" spans="1:17">
      <c r="A1" s="798" t="s">
        <v>226</v>
      </c>
      <c r="B1" s="417" t="s">
        <v>1304</v>
      </c>
      <c r="C1" s="421" t="s">
        <v>1305</v>
      </c>
      <c r="D1" s="421" t="s">
        <v>1305</v>
      </c>
      <c r="E1" s="421" t="s">
        <v>1305</v>
      </c>
      <c r="F1" s="421" t="s">
        <v>1305</v>
      </c>
      <c r="G1" s="421" t="s">
        <v>1305</v>
      </c>
      <c r="H1" s="421" t="s">
        <v>1305</v>
      </c>
      <c r="I1" s="421" t="s">
        <v>1305</v>
      </c>
      <c r="J1" s="421" t="s">
        <v>1305</v>
      </c>
      <c r="K1" s="421" t="s">
        <v>1305</v>
      </c>
      <c r="L1" s="421" t="s">
        <v>1305</v>
      </c>
      <c r="M1" s="421" t="s">
        <v>1305</v>
      </c>
      <c r="N1" s="421" t="s">
        <v>1305</v>
      </c>
      <c r="O1" s="421" t="s">
        <v>1305</v>
      </c>
      <c r="P1" s="421" t="s">
        <v>1305</v>
      </c>
      <c r="Q1" s="415"/>
    </row>
    <row r="2" spans="1:17" ht="51">
      <c r="A2" s="798"/>
      <c r="B2" s="417" t="s">
        <v>1306</v>
      </c>
      <c r="C2" s="420" t="s">
        <v>1307</v>
      </c>
      <c r="D2" s="420" t="s">
        <v>1308</v>
      </c>
      <c r="E2" s="420" t="s">
        <v>1309</v>
      </c>
      <c r="F2" s="420" t="s">
        <v>1310</v>
      </c>
      <c r="G2" s="420" t="s">
        <v>1311</v>
      </c>
      <c r="H2" s="420"/>
      <c r="I2" s="420"/>
      <c r="J2" s="420"/>
      <c r="K2" s="420"/>
      <c r="L2" s="420"/>
      <c r="M2" s="420"/>
      <c r="N2" s="420"/>
      <c r="O2" s="420"/>
      <c r="P2" s="420"/>
      <c r="Q2" s="415"/>
    </row>
    <row r="3" spans="1:17">
      <c r="A3" s="798"/>
      <c r="B3" s="417" t="s">
        <v>1312</v>
      </c>
      <c r="C3" s="419">
        <v>1</v>
      </c>
      <c r="D3" s="419">
        <v>3</v>
      </c>
      <c r="E3" s="419">
        <v>3</v>
      </c>
      <c r="F3" s="419">
        <v>2</v>
      </c>
      <c r="G3" s="419">
        <v>2</v>
      </c>
      <c r="H3" s="419"/>
      <c r="I3" s="419"/>
      <c r="J3" s="419"/>
      <c r="K3" s="419"/>
      <c r="L3" s="419"/>
      <c r="M3" s="419"/>
      <c r="N3" s="419"/>
      <c r="O3" s="419"/>
      <c r="P3" s="419"/>
      <c r="Q3" s="415"/>
    </row>
    <row r="4" spans="1:17">
      <c r="A4" s="798"/>
      <c r="B4" s="417" t="s">
        <v>1313</v>
      </c>
      <c r="C4" s="419">
        <v>0</v>
      </c>
      <c r="D4" s="419">
        <v>0</v>
      </c>
      <c r="E4" s="419">
        <v>5</v>
      </c>
      <c r="F4" s="419">
        <v>7</v>
      </c>
      <c r="G4" s="419">
        <v>1</v>
      </c>
      <c r="H4" s="412"/>
      <c r="I4" s="412"/>
      <c r="J4" s="412"/>
      <c r="K4" s="412"/>
      <c r="L4" s="412"/>
      <c r="M4" s="412"/>
      <c r="N4" s="412"/>
      <c r="O4" s="412"/>
      <c r="P4" s="418"/>
      <c r="Q4" s="415"/>
    </row>
    <row r="5" spans="1:17">
      <c r="A5" s="798"/>
      <c r="B5" s="417" t="s">
        <v>1314</v>
      </c>
      <c r="C5" s="664">
        <f t="shared" ref="C5:P5" si="0">C3*C4</f>
        <v>0</v>
      </c>
      <c r="D5" s="664">
        <f t="shared" si="0"/>
        <v>0</v>
      </c>
      <c r="E5" s="664">
        <f>E3*E4</f>
        <v>15</v>
      </c>
      <c r="F5" s="664">
        <f t="shared" si="0"/>
        <v>14</v>
      </c>
      <c r="G5" s="664">
        <f t="shared" si="0"/>
        <v>2</v>
      </c>
      <c r="H5" s="664">
        <f t="shared" si="0"/>
        <v>0</v>
      </c>
      <c r="I5" s="664">
        <f t="shared" si="0"/>
        <v>0</v>
      </c>
      <c r="J5" s="664">
        <f t="shared" si="0"/>
        <v>0</v>
      </c>
      <c r="K5" s="664">
        <f t="shared" si="0"/>
        <v>0</v>
      </c>
      <c r="L5" s="664">
        <f t="shared" si="0"/>
        <v>0</v>
      </c>
      <c r="M5" s="664">
        <f t="shared" si="0"/>
        <v>0</v>
      </c>
      <c r="N5" s="664">
        <f t="shared" si="0"/>
        <v>0</v>
      </c>
      <c r="O5" s="664">
        <f t="shared" si="0"/>
        <v>0</v>
      </c>
      <c r="P5" s="664">
        <f t="shared" si="0"/>
        <v>0</v>
      </c>
      <c r="Q5" s="415"/>
    </row>
    <row r="6" spans="1:17">
      <c r="A6" s="416" t="str">
        <f>IF(ISBLANK(MODULY_CBA!B3),"",MODULY_CBA!B3)</f>
        <v>Adaptér core banking služieb</v>
      </c>
      <c r="B6" s="416">
        <f t="shared" ref="B6:B26" si="1">SUM(C6*C$5,D6*D$5,E6*E$5,F6*F$5,G6*G$5,H6*H$5,I6*I$5,J6*J$5,K6*K$5,L6*L$5,M6*M$5,N6*N$5,O6*O$5,P6*P$5)</f>
        <v>29</v>
      </c>
      <c r="C6" s="479">
        <v>0</v>
      </c>
      <c r="D6" s="479">
        <v>0</v>
      </c>
      <c r="E6" s="479">
        <v>1</v>
      </c>
      <c r="F6" s="479">
        <v>1</v>
      </c>
      <c r="G6" s="479">
        <v>0</v>
      </c>
      <c r="H6" s="479"/>
      <c r="I6" s="479"/>
      <c r="J6" s="479"/>
      <c r="K6" s="479"/>
      <c r="L6" s="479"/>
      <c r="M6" s="479"/>
      <c r="N6" s="479"/>
      <c r="O6" s="479"/>
      <c r="P6" s="479"/>
      <c r="Q6" s="415"/>
    </row>
    <row r="7" spans="1:17">
      <c r="A7" s="416" t="str">
        <f>IF(ISBLANK(MODULY_CBA!B4),"",MODULY_CBA!B4)</f>
        <v>Autentifikačný modul</v>
      </c>
      <c r="B7" s="416">
        <f t="shared" si="1"/>
        <v>29</v>
      </c>
      <c r="C7" s="479">
        <v>0</v>
      </c>
      <c r="D7" s="479">
        <v>0</v>
      </c>
      <c r="E7" s="479">
        <v>1</v>
      </c>
      <c r="F7" s="479">
        <v>1</v>
      </c>
      <c r="G7" s="479">
        <v>0</v>
      </c>
      <c r="H7" s="479"/>
      <c r="I7" s="479"/>
      <c r="J7" s="479"/>
      <c r="K7" s="479"/>
      <c r="L7" s="479"/>
      <c r="M7" s="479"/>
      <c r="N7" s="479"/>
      <c r="O7" s="479"/>
      <c r="P7" s="479"/>
      <c r="Q7" s="415"/>
    </row>
    <row r="8" spans="1:17">
      <c r="A8" s="416" t="str">
        <f>IF(ISBLANK(MODULY_CBA!B5),"",MODULY_CBA!B5)</f>
        <v>Mobilná aplikácia - autentifikácia</v>
      </c>
      <c r="B8" s="416">
        <f t="shared" si="1"/>
        <v>29</v>
      </c>
      <c r="C8" s="479">
        <v>0</v>
      </c>
      <c r="D8" s="479">
        <v>0</v>
      </c>
      <c r="E8" s="479">
        <v>1</v>
      </c>
      <c r="F8" s="479">
        <v>1</v>
      </c>
      <c r="G8" s="479">
        <v>0</v>
      </c>
      <c r="H8" s="479"/>
      <c r="I8" s="479"/>
      <c r="J8" s="479"/>
      <c r="K8" s="479"/>
      <c r="L8" s="479"/>
      <c r="M8" s="479"/>
      <c r="N8" s="479"/>
      <c r="O8" s="479"/>
      <c r="P8" s="479"/>
      <c r="Q8" s="415"/>
    </row>
    <row r="9" spans="1:17">
      <c r="A9" s="416" t="str">
        <f>IF(ISBLANK(MODULY_CBA!B6),"",MODULY_CBA!B6)</f>
        <v>KYC</v>
      </c>
      <c r="B9" s="416">
        <f t="shared" si="1"/>
        <v>29</v>
      </c>
      <c r="C9" s="479">
        <v>0</v>
      </c>
      <c r="D9" s="479">
        <v>0</v>
      </c>
      <c r="E9" s="479">
        <v>1</v>
      </c>
      <c r="F9" s="479">
        <v>1</v>
      </c>
      <c r="G9" s="479">
        <v>0</v>
      </c>
      <c r="H9" s="479"/>
      <c r="I9" s="479"/>
      <c r="J9" s="479"/>
      <c r="K9" s="479"/>
      <c r="L9" s="479"/>
      <c r="M9" s="479"/>
      <c r="N9" s="479"/>
      <c r="O9" s="479"/>
      <c r="P9" s="479"/>
      <c r="Q9" s="415"/>
    </row>
    <row r="10" spans="1:17">
      <c r="A10" s="416" t="str">
        <f>IF(ISBLANK(MODULY_CBA!B7),"",MODULY_CBA!B7)</f>
        <v>Webový portál ŠP</v>
      </c>
      <c r="B10" s="416">
        <f t="shared" si="1"/>
        <v>31</v>
      </c>
      <c r="C10" s="479">
        <v>0</v>
      </c>
      <c r="D10" s="479">
        <v>0</v>
      </c>
      <c r="E10" s="479">
        <v>1</v>
      </c>
      <c r="F10" s="479">
        <v>1</v>
      </c>
      <c r="G10" s="479">
        <v>1</v>
      </c>
      <c r="H10" s="479"/>
      <c r="I10" s="479"/>
      <c r="J10" s="479"/>
      <c r="K10" s="479"/>
      <c r="L10" s="479"/>
      <c r="M10" s="479"/>
      <c r="N10" s="479"/>
      <c r="O10" s="479"/>
      <c r="P10" s="479"/>
      <c r="Q10" s="415"/>
    </row>
    <row r="11" spans="1:17">
      <c r="A11" s="416" t="str">
        <f>IF(ISBLANK(MODULY_CBA!B8),"",MODULY_CBA!B8)</f>
        <v>OpenAPI</v>
      </c>
      <c r="B11" s="416">
        <f t="shared" si="1"/>
        <v>15</v>
      </c>
      <c r="C11" s="479">
        <v>0</v>
      </c>
      <c r="D11" s="479">
        <v>0</v>
      </c>
      <c r="E11" s="479">
        <v>1</v>
      </c>
      <c r="F11" s="479">
        <v>0</v>
      </c>
      <c r="G11" s="479">
        <v>0</v>
      </c>
      <c r="H11" s="479"/>
      <c r="I11" s="479"/>
      <c r="J11" s="479"/>
      <c r="K11" s="479"/>
      <c r="L11" s="479"/>
      <c r="M11" s="479"/>
      <c r="N11" s="479"/>
      <c r="O11" s="479"/>
      <c r="P11" s="479"/>
      <c r="Q11" s="415"/>
    </row>
    <row r="12" spans="1:17">
      <c r="A12" s="416" t="str">
        <f>IF(ISBLANK(MODULY_CBA!B9),"",MODULY_CBA!B9)</f>
        <v>Modul platobných funkcionalít</v>
      </c>
      <c r="B12" s="416">
        <f t="shared" si="1"/>
        <v>29</v>
      </c>
      <c r="C12" s="479">
        <v>0</v>
      </c>
      <c r="D12" s="479">
        <v>0</v>
      </c>
      <c r="E12" s="479">
        <v>1</v>
      </c>
      <c r="F12" s="479">
        <v>1</v>
      </c>
      <c r="G12" s="479">
        <v>0</v>
      </c>
      <c r="H12" s="479"/>
      <c r="I12" s="479"/>
      <c r="J12" s="479"/>
      <c r="K12" s="479"/>
      <c r="L12" s="479"/>
      <c r="M12" s="479"/>
      <c r="N12" s="479"/>
      <c r="O12" s="479"/>
      <c r="P12" s="479"/>
      <c r="Q12" s="415"/>
    </row>
    <row r="13" spans="1:17">
      <c r="A13" s="416" t="str">
        <f>IF(ISBLANK(MODULY_CBA!B10),"",MODULY_CBA!B10)</f>
        <v>Modul všeobecných funkcionalít</v>
      </c>
      <c r="B13" s="416">
        <f t="shared" si="1"/>
        <v>29</v>
      </c>
      <c r="C13" s="479">
        <v>0</v>
      </c>
      <c r="D13" s="479">
        <v>0</v>
      </c>
      <c r="E13" s="479">
        <v>1</v>
      </c>
      <c r="F13" s="479">
        <v>1</v>
      </c>
      <c r="G13" s="479">
        <v>0</v>
      </c>
      <c r="H13" s="479"/>
      <c r="I13" s="479"/>
      <c r="J13" s="479"/>
      <c r="K13" s="479"/>
      <c r="L13" s="479"/>
      <c r="M13" s="479"/>
      <c r="N13" s="479"/>
      <c r="O13" s="479"/>
      <c r="P13" s="479"/>
      <c r="Q13" s="415"/>
    </row>
    <row r="14" spans="1:17">
      <c r="A14" s="416" t="str">
        <f>IF(ISBLANK(MODULY_CBA!B11),"",MODULY_CBA!B11)</f>
        <v>Mobilná aplikácia - autorizácia a notifikácie</v>
      </c>
      <c r="B14" s="416">
        <f t="shared" si="1"/>
        <v>29</v>
      </c>
      <c r="C14" s="479">
        <v>0</v>
      </c>
      <c r="D14" s="479">
        <v>0</v>
      </c>
      <c r="E14" s="479">
        <v>1</v>
      </c>
      <c r="F14" s="479">
        <v>1</v>
      </c>
      <c r="G14" s="479">
        <v>0</v>
      </c>
      <c r="H14" s="479"/>
      <c r="I14" s="479"/>
      <c r="J14" s="479"/>
      <c r="K14" s="479"/>
      <c r="L14" s="479"/>
      <c r="M14" s="479"/>
      <c r="N14" s="479"/>
      <c r="O14" s="479"/>
      <c r="P14" s="479"/>
      <c r="Q14" s="415"/>
    </row>
    <row r="15" spans="1:17">
      <c r="A15" s="416" t="str">
        <f>IF(ISBLANK(MODULY_CBA!B12),"",MODULY_CBA!B12)</f>
        <v>Modul rozpočtových funkcionalít</v>
      </c>
      <c r="B15" s="416">
        <f t="shared" si="1"/>
        <v>29</v>
      </c>
      <c r="C15" s="479">
        <v>0</v>
      </c>
      <c r="D15" s="479">
        <v>0</v>
      </c>
      <c r="E15" s="479">
        <v>1</v>
      </c>
      <c r="F15" s="479">
        <v>1</v>
      </c>
      <c r="G15" s="479">
        <v>0</v>
      </c>
      <c r="H15" s="479"/>
      <c r="I15" s="479"/>
      <c r="J15" s="479"/>
      <c r="K15" s="479"/>
      <c r="L15" s="479"/>
      <c r="M15" s="479"/>
      <c r="N15" s="479"/>
      <c r="O15" s="479"/>
      <c r="P15" s="479"/>
      <c r="Q15" s="415"/>
    </row>
    <row r="16" spans="1:17">
      <c r="A16" s="416" t="str">
        <f>IF(ISBLANK(MODULY_CBA!B13),"",MODULY_CBA!B13)</f>
        <v>Migrácia do RPC</v>
      </c>
      <c r="B16" s="416">
        <f t="shared" si="1"/>
        <v>15</v>
      </c>
      <c r="C16" s="479">
        <v>0</v>
      </c>
      <c r="D16" s="479">
        <v>0</v>
      </c>
      <c r="E16" s="479">
        <v>1</v>
      </c>
      <c r="F16" s="479">
        <v>0</v>
      </c>
      <c r="G16" s="479">
        <v>0</v>
      </c>
      <c r="H16" s="479"/>
      <c r="I16" s="479"/>
      <c r="J16" s="479"/>
      <c r="K16" s="479"/>
      <c r="L16" s="479"/>
      <c r="M16" s="479"/>
      <c r="N16" s="479"/>
      <c r="O16" s="479"/>
      <c r="P16" s="479"/>
      <c r="Q16" s="415"/>
    </row>
    <row r="17" spans="1:17">
      <c r="A17" s="416" t="str">
        <f>IF(ISBLANK(MODULY_CBA!B14),"",MODULY_CBA!B14)</f>
        <v/>
      </c>
      <c r="B17" s="416">
        <f t="shared" si="1"/>
        <v>0</v>
      </c>
      <c r="C17" s="479"/>
      <c r="D17" s="479"/>
      <c r="E17" s="479"/>
      <c r="F17" s="479"/>
      <c r="G17" s="479"/>
      <c r="H17" s="479"/>
      <c r="I17" s="479"/>
      <c r="J17" s="479"/>
      <c r="K17" s="479"/>
      <c r="L17" s="479"/>
      <c r="M17" s="479"/>
      <c r="N17" s="479"/>
      <c r="O17" s="479"/>
      <c r="P17" s="479"/>
      <c r="Q17" s="415"/>
    </row>
    <row r="18" spans="1:17">
      <c r="A18" s="416" t="str">
        <f>IF(ISBLANK(MODULY_CBA!B15),"",MODULY_CBA!B15)</f>
        <v/>
      </c>
      <c r="B18" s="416">
        <f t="shared" si="1"/>
        <v>0</v>
      </c>
      <c r="C18" s="479"/>
      <c r="D18" s="479"/>
      <c r="E18" s="479"/>
      <c r="F18" s="479"/>
      <c r="G18" s="479"/>
      <c r="H18" s="479"/>
      <c r="I18" s="479"/>
      <c r="J18" s="479"/>
      <c r="K18" s="479"/>
      <c r="L18" s="479"/>
      <c r="M18" s="479"/>
      <c r="N18" s="479"/>
      <c r="O18" s="479"/>
      <c r="P18" s="479"/>
      <c r="Q18" s="415"/>
    </row>
    <row r="19" spans="1:17">
      <c r="A19" s="416" t="str">
        <f>IF(ISBLANK(MODULY_CBA!B16),"",MODULY_CBA!B16)</f>
        <v/>
      </c>
      <c r="B19" s="416">
        <f t="shared" si="1"/>
        <v>0</v>
      </c>
      <c r="C19" s="479"/>
      <c r="D19" s="479"/>
      <c r="E19" s="479"/>
      <c r="F19" s="479"/>
      <c r="G19" s="479"/>
      <c r="H19" s="479"/>
      <c r="I19" s="479"/>
      <c r="J19" s="479"/>
      <c r="K19" s="479"/>
      <c r="L19" s="479"/>
      <c r="M19" s="479"/>
      <c r="N19" s="479"/>
      <c r="O19" s="479"/>
      <c r="P19" s="479"/>
      <c r="Q19" s="415"/>
    </row>
    <row r="20" spans="1:17">
      <c r="A20" s="416" t="str">
        <f>IF(ISBLANK(MODULY_CBA!B17),"",MODULY_CBA!B17)</f>
        <v/>
      </c>
      <c r="B20" s="416">
        <f t="shared" si="1"/>
        <v>0</v>
      </c>
      <c r="C20" s="479"/>
      <c r="D20" s="479"/>
      <c r="E20" s="479"/>
      <c r="F20" s="479"/>
      <c r="G20" s="479"/>
      <c r="H20" s="479"/>
      <c r="I20" s="479"/>
      <c r="J20" s="479"/>
      <c r="K20" s="479"/>
      <c r="L20" s="479"/>
      <c r="M20" s="479"/>
      <c r="N20" s="479"/>
      <c r="O20" s="479"/>
      <c r="P20" s="479"/>
      <c r="Q20" s="415"/>
    </row>
    <row r="21" spans="1:17">
      <c r="A21" s="416" t="str">
        <f>IF(ISBLANK(MODULY_CBA!B18),"",MODULY_CBA!B18)</f>
        <v/>
      </c>
      <c r="B21" s="416">
        <f t="shared" si="1"/>
        <v>0</v>
      </c>
      <c r="C21" s="479"/>
      <c r="D21" s="479"/>
      <c r="E21" s="479"/>
      <c r="F21" s="479"/>
      <c r="G21" s="479"/>
      <c r="H21" s="479"/>
      <c r="I21" s="479"/>
      <c r="J21" s="479"/>
      <c r="K21" s="479"/>
      <c r="L21" s="479"/>
      <c r="M21" s="479"/>
      <c r="N21" s="479"/>
      <c r="O21" s="479"/>
      <c r="P21" s="479"/>
      <c r="Q21" s="415"/>
    </row>
    <row r="22" spans="1:17">
      <c r="A22" s="416" t="str">
        <f>IF(ISBLANK(MODULY_CBA!B19),"",MODULY_CBA!B19)</f>
        <v/>
      </c>
      <c r="B22" s="416">
        <f t="shared" si="1"/>
        <v>0</v>
      </c>
      <c r="C22" s="479"/>
      <c r="D22" s="479"/>
      <c r="E22" s="479"/>
      <c r="F22" s="479"/>
      <c r="G22" s="479"/>
      <c r="H22" s="479"/>
      <c r="I22" s="479"/>
      <c r="J22" s="479"/>
      <c r="K22" s="479"/>
      <c r="L22" s="479"/>
      <c r="M22" s="479"/>
      <c r="N22" s="479"/>
      <c r="O22" s="479"/>
      <c r="P22" s="479"/>
      <c r="Q22" s="415"/>
    </row>
    <row r="23" spans="1:17">
      <c r="A23" s="416" t="str">
        <f>IF(ISBLANK(MODULY_CBA!B20),"",MODULY_CBA!B20)</f>
        <v/>
      </c>
      <c r="B23" s="416">
        <f t="shared" si="1"/>
        <v>0</v>
      </c>
      <c r="C23" s="479"/>
      <c r="D23" s="479"/>
      <c r="E23" s="479"/>
      <c r="F23" s="479"/>
      <c r="G23" s="479"/>
      <c r="H23" s="479"/>
      <c r="I23" s="479"/>
      <c r="J23" s="479"/>
      <c r="K23" s="479"/>
      <c r="L23" s="479"/>
      <c r="M23" s="479"/>
      <c r="N23" s="479"/>
      <c r="O23" s="479"/>
      <c r="P23" s="479"/>
      <c r="Q23" s="415"/>
    </row>
    <row r="24" spans="1:17">
      <c r="A24" s="416" t="str">
        <f>IF(ISBLANK(MODULY_CBA!B21),"",MODULY_CBA!B21)</f>
        <v/>
      </c>
      <c r="B24" s="416">
        <f t="shared" si="1"/>
        <v>0</v>
      </c>
      <c r="C24" s="479"/>
      <c r="D24" s="479"/>
      <c r="E24" s="479"/>
      <c r="F24" s="479"/>
      <c r="G24" s="479"/>
      <c r="H24" s="479"/>
      <c r="I24" s="479"/>
      <c r="J24" s="479"/>
      <c r="K24" s="479"/>
      <c r="L24" s="479"/>
      <c r="M24" s="479"/>
      <c r="N24" s="479"/>
      <c r="O24" s="479"/>
      <c r="P24" s="479"/>
      <c r="Q24" s="415"/>
    </row>
    <row r="25" spans="1:17">
      <c r="A25" s="416" t="str">
        <f>IF(ISBLANK(MODULY_CBA!B22),"",MODULY_CBA!B22)</f>
        <v/>
      </c>
      <c r="B25" s="416">
        <f t="shared" si="1"/>
        <v>0</v>
      </c>
      <c r="C25" s="479"/>
      <c r="D25" s="479"/>
      <c r="E25" s="479"/>
      <c r="F25" s="479"/>
      <c r="G25" s="479"/>
      <c r="H25" s="479"/>
      <c r="I25" s="479"/>
      <c r="J25" s="479"/>
      <c r="K25" s="479"/>
      <c r="L25" s="479"/>
      <c r="M25" s="479"/>
      <c r="N25" s="479"/>
      <c r="O25" s="479"/>
      <c r="P25" s="479"/>
      <c r="Q25" s="415"/>
    </row>
    <row r="26" spans="1:17">
      <c r="A26" s="416" t="str">
        <f>IF(ISBLANK(MODULY_CBA!B23),"",MODULY_CBA!B23)</f>
        <v/>
      </c>
      <c r="B26" s="416">
        <f t="shared" si="1"/>
        <v>0</v>
      </c>
      <c r="C26" s="479"/>
      <c r="D26" s="479"/>
      <c r="E26" s="479"/>
      <c r="F26" s="479"/>
      <c r="G26" s="479"/>
      <c r="H26" s="479"/>
      <c r="I26" s="479"/>
      <c r="J26" s="479"/>
      <c r="K26" s="479"/>
      <c r="L26" s="479"/>
      <c r="M26" s="479"/>
      <c r="N26" s="479"/>
      <c r="O26" s="479"/>
      <c r="P26" s="479"/>
      <c r="Q26" s="415"/>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Normal="100" workbookViewId="0">
      <pane ySplit="3" topLeftCell="A26" activePane="bottomLeft" state="frozen"/>
      <selection activeCell="J3" sqref="J3:J11"/>
      <selection pane="bottomLeft" activeCell="O26" sqref="O26"/>
    </sheetView>
  </sheetViews>
  <sheetFormatPr defaultColWidth="8.85546875" defaultRowHeight="15"/>
  <cols>
    <col min="1" max="1" width="31.42578125" style="362" customWidth="1"/>
    <col min="2" max="2" width="10.7109375" style="362" customWidth="1"/>
    <col min="3" max="3" width="10.7109375" style="362" hidden="1" customWidth="1"/>
    <col min="4" max="4" width="10.7109375" style="362" customWidth="1"/>
    <col min="5" max="5" width="15.42578125" style="362" customWidth="1"/>
    <col min="6" max="6" width="28.28515625" style="362" customWidth="1"/>
    <col min="7" max="7" width="28.28515625" style="362" hidden="1" customWidth="1"/>
    <col min="8" max="8" width="28.28515625" style="362" customWidth="1"/>
    <col min="9" max="9" width="13.140625" style="362" bestFit="1" customWidth="1"/>
    <col min="10" max="10" width="11.28515625" style="362" customWidth="1"/>
    <col min="11" max="11" width="10.7109375" style="362" bestFit="1" customWidth="1"/>
    <col min="12" max="12" width="10" style="362" customWidth="1"/>
    <col min="13" max="13" width="16.42578125" style="362" bestFit="1" customWidth="1"/>
    <col min="14" max="14" width="10.28515625" style="362" bestFit="1" customWidth="1"/>
    <col min="15" max="16" width="8.85546875" style="362"/>
    <col min="17" max="17" width="43.140625" style="362" customWidth="1"/>
    <col min="18" max="18" width="16.140625" style="362" customWidth="1"/>
    <col min="19" max="19" width="13.7109375" style="362" customWidth="1"/>
    <col min="20" max="20" width="12.28515625" style="362" bestFit="1" customWidth="1"/>
    <col min="21" max="23" width="12.28515625" style="362" customWidth="1"/>
    <col min="24" max="24" width="20.140625" style="362" customWidth="1"/>
    <col min="25" max="16384" width="8.85546875" style="362"/>
  </cols>
  <sheetData>
    <row r="1" spans="1:24">
      <c r="F1" s="799" t="s">
        <v>1315</v>
      </c>
      <c r="G1" s="799"/>
      <c r="H1" s="799"/>
      <c r="I1" s="799"/>
      <c r="J1" s="799"/>
      <c r="K1" s="438">
        <f>SUM(K4:K33)</f>
        <v>34626</v>
      </c>
      <c r="M1" s="440">
        <f>SUM(M4:M39)</f>
        <v>15960173</v>
      </c>
    </row>
    <row r="2" spans="1:24">
      <c r="D2" s="439">
        <f>SUM(D3:D39)</f>
        <v>34624</v>
      </c>
      <c r="F2" s="800" t="s">
        <v>1316</v>
      </c>
      <c r="G2" s="800"/>
      <c r="H2" s="800"/>
      <c r="I2" s="800"/>
      <c r="J2" s="800"/>
      <c r="K2" s="438">
        <f>SUM(K41:K64)</f>
        <v>0</v>
      </c>
      <c r="M2" s="440">
        <f>SUM(M41:M64)</f>
        <v>0</v>
      </c>
    </row>
    <row r="3" spans="1:24" s="477" customFormat="1" ht="60">
      <c r="A3" s="475" t="s">
        <v>1317</v>
      </c>
      <c r="B3" s="476" t="s">
        <v>1318</v>
      </c>
      <c r="C3" s="476" t="s">
        <v>1319</v>
      </c>
      <c r="D3" s="476" t="s">
        <v>1320</v>
      </c>
      <c r="E3" s="476" t="s">
        <v>1321</v>
      </c>
      <c r="F3" s="476" t="s">
        <v>1322</v>
      </c>
      <c r="G3" s="476" t="s">
        <v>1323</v>
      </c>
      <c r="H3" s="476" t="s">
        <v>1324</v>
      </c>
      <c r="I3" s="476" t="s">
        <v>1325</v>
      </c>
      <c r="J3" s="476" t="s">
        <v>1326</v>
      </c>
      <c r="K3" s="476" t="s">
        <v>1327</v>
      </c>
      <c r="L3" s="476" t="s">
        <v>1328</v>
      </c>
      <c r="M3" s="476" t="s">
        <v>1329</v>
      </c>
      <c r="Q3" s="474" t="s">
        <v>1330</v>
      </c>
      <c r="R3" s="474" t="s">
        <v>1331</v>
      </c>
      <c r="S3" s="474" t="s">
        <v>1332</v>
      </c>
      <c r="T3" s="474" t="s">
        <v>1333</v>
      </c>
      <c r="U3" s="474" t="s">
        <v>1334</v>
      </c>
      <c r="V3" s="474" t="s">
        <v>1335</v>
      </c>
      <c r="W3" s="474" t="s">
        <v>1336</v>
      </c>
      <c r="X3" s="474" t="s">
        <v>1337</v>
      </c>
    </row>
    <row r="4" spans="1:24">
      <c r="A4" s="367" t="s">
        <v>1338</v>
      </c>
      <c r="B4" s="551">
        <v>0.3</v>
      </c>
      <c r="C4" s="550">
        <f>SUM(K4:K15)/$K$1</f>
        <v>0.3000057760064691</v>
      </c>
      <c r="D4" s="480">
        <f>B4*SUM(MODULY_CBA!$J$3:$J$23)</f>
        <v>10387.199999999999</v>
      </c>
      <c r="E4" s="481">
        <f>IFERROR(SUM(M4:M15)/SUM(K4:K15),0)</f>
        <v>503.8642664613015</v>
      </c>
      <c r="F4" s="549" t="s">
        <v>1339</v>
      </c>
      <c r="G4" s="549" t="str">
        <f>IFERROR(VLOOKUP(F4,ISCO_Prevodnik!$A$10:$B$21,2,0),"")</f>
        <v>IT_architekt</v>
      </c>
      <c r="H4" s="549"/>
      <c r="I4" s="549" t="str">
        <f>IFERROR(VLOOKUP(H4,ISCO_Prevodnik!$E$10:$F$31,2,0),"")</f>
        <v/>
      </c>
      <c r="J4" s="550">
        <v>0.1</v>
      </c>
      <c r="K4" s="480">
        <f>ROUND(J4*$D$4,0)</f>
        <v>1039</v>
      </c>
      <c r="L4" s="488">
        <f>IFERROR(VLOOKUP(F4,$Q$4:$R$27,2,0),0)</f>
        <v>525</v>
      </c>
      <c r="M4" s="482">
        <f>K4*L4</f>
        <v>545475</v>
      </c>
      <c r="N4" s="505"/>
      <c r="Q4" s="429" t="s">
        <v>1339</v>
      </c>
      <c r="R4" s="552">
        <v>525</v>
      </c>
      <c r="S4" s="500">
        <v>525</v>
      </c>
      <c r="T4" s="430">
        <v>0.1</v>
      </c>
      <c r="U4" s="432">
        <f>SUMIF($F$4:$F$64,Q4,$K$4:$K$64)</f>
        <v>3394</v>
      </c>
      <c r="V4" s="430">
        <f t="shared" ref="V4:V15" si="0">IF(U4=0,0%,U4/SUM($U$4:$U$15))</f>
        <v>9.8018829781089362E-2</v>
      </c>
      <c r="W4" s="430" t="str">
        <f t="shared" ref="W4:W15" si="1">IFERROR(IF(U4/SUM($U$4:$U$15)&gt;T4,"NAD","OK"),"")</f>
        <v>OK</v>
      </c>
      <c r="X4" s="431"/>
    </row>
    <row r="5" spans="1:24">
      <c r="A5" s="364"/>
      <c r="B5" s="364"/>
      <c r="C5" s="364"/>
      <c r="D5" s="364"/>
      <c r="E5" s="364"/>
      <c r="F5" s="549" t="s">
        <v>1340</v>
      </c>
      <c r="G5" s="549" t="str">
        <f>IFERROR(VLOOKUP(F5,ISCO_Prevodnik!$A$10:$B$21,2,0),"")</f>
        <v>Projektovy_manazer</v>
      </c>
      <c r="H5" s="549"/>
      <c r="I5" s="549" t="str">
        <f>IFERROR(VLOOKUP(H5,ISCO_Prevodnik!$E$10:$F$31,2,0),"")</f>
        <v/>
      </c>
      <c r="J5" s="550">
        <v>0.04</v>
      </c>
      <c r="K5" s="480">
        <f t="shared" ref="K5:K15" si="2">ROUND(J5*$D$4,0)</f>
        <v>415</v>
      </c>
      <c r="L5" s="488">
        <f t="shared" ref="L5:L39" si="3">IFERROR(VLOOKUP(F5,$Q$4:$R$27,2,0),0)</f>
        <v>539</v>
      </c>
      <c r="M5" s="482">
        <f>K5*L5</f>
        <v>223685</v>
      </c>
      <c r="Q5" s="429" t="s">
        <v>1341</v>
      </c>
      <c r="R5" s="552">
        <v>377</v>
      </c>
      <c r="S5" s="500">
        <v>377</v>
      </c>
      <c r="T5" s="430">
        <v>0.15</v>
      </c>
      <c r="U5" s="432">
        <f t="shared" ref="U5:U27" si="4">SUMIF($F$4:$F$64,Q5,$K$4:$K$64)</f>
        <v>3809</v>
      </c>
      <c r="V5" s="430">
        <f t="shared" si="0"/>
        <v>0.11000404320452839</v>
      </c>
      <c r="W5" s="430" t="str">
        <f t="shared" si="1"/>
        <v>OK</v>
      </c>
      <c r="X5" s="431"/>
    </row>
    <row r="6" spans="1:24">
      <c r="A6" s="364"/>
      <c r="B6" s="364"/>
      <c r="C6" s="364"/>
      <c r="D6" s="364"/>
      <c r="E6" s="364"/>
      <c r="F6" s="549" t="s">
        <v>1342</v>
      </c>
      <c r="G6" s="549" t="str">
        <f>IFERROR(VLOOKUP(F6,ISCO_Prevodnik!$A$10:$B$21,2,0),"")</f>
        <v>IT_analytik</v>
      </c>
      <c r="H6" s="549"/>
      <c r="I6" s="549" t="str">
        <f>IFERROR(VLOOKUP(H6,ISCO_Prevodnik!$E$10:$F$31,2,0),"")</f>
        <v/>
      </c>
      <c r="J6" s="550">
        <v>0.5</v>
      </c>
      <c r="K6" s="480">
        <f t="shared" si="2"/>
        <v>5194</v>
      </c>
      <c r="L6" s="488">
        <f t="shared" si="3"/>
        <v>529</v>
      </c>
      <c r="M6" s="482">
        <f t="shared" ref="M6:M33" si="5">K6*L6</f>
        <v>2747626</v>
      </c>
      <c r="Q6" s="429" t="s">
        <v>1343</v>
      </c>
      <c r="R6" s="552">
        <v>420</v>
      </c>
      <c r="S6" s="504">
        <v>420</v>
      </c>
      <c r="T6" s="430">
        <v>0.6</v>
      </c>
      <c r="U6" s="432">
        <f t="shared" si="4"/>
        <v>9522</v>
      </c>
      <c r="V6" s="430">
        <f t="shared" si="0"/>
        <v>0.27499566799514813</v>
      </c>
      <c r="W6" s="430" t="str">
        <f t="shared" si="1"/>
        <v>OK</v>
      </c>
      <c r="X6" s="431"/>
    </row>
    <row r="7" spans="1:24">
      <c r="A7" s="364"/>
      <c r="B7" s="364"/>
      <c r="C7" s="364"/>
      <c r="D7" s="364"/>
      <c r="E7" s="364"/>
      <c r="F7" s="549" t="s">
        <v>1344</v>
      </c>
      <c r="G7" s="549" t="str">
        <f>IFERROR(VLOOKUP(F7,ISCO_Prevodnik!$A$10:$B$21,2,0),"")</f>
        <v>Kvalita</v>
      </c>
      <c r="H7" s="549"/>
      <c r="I7" s="549" t="str">
        <f>IFERROR(VLOOKUP(H7,ISCO_Prevodnik!$E$10:$F$31,2,0),"")</f>
        <v/>
      </c>
      <c r="J7" s="550">
        <v>0.05</v>
      </c>
      <c r="K7" s="480">
        <f t="shared" si="2"/>
        <v>519</v>
      </c>
      <c r="L7" s="488">
        <f t="shared" si="3"/>
        <v>520</v>
      </c>
      <c r="M7" s="482">
        <f t="shared" si="5"/>
        <v>269880</v>
      </c>
      <c r="Q7" s="429" t="s">
        <v>1340</v>
      </c>
      <c r="R7" s="552">
        <v>539</v>
      </c>
      <c r="S7" s="504">
        <v>539</v>
      </c>
      <c r="T7" s="430">
        <v>0.04</v>
      </c>
      <c r="U7" s="432">
        <f t="shared" si="4"/>
        <v>1384</v>
      </c>
      <c r="V7" s="430">
        <f t="shared" si="0"/>
        <v>3.9969964766360541E-2</v>
      </c>
      <c r="W7" s="430" t="str">
        <f t="shared" si="1"/>
        <v>OK</v>
      </c>
      <c r="X7" s="431"/>
    </row>
    <row r="8" spans="1:24">
      <c r="A8" s="364"/>
      <c r="B8" s="364"/>
      <c r="C8" s="364"/>
      <c r="D8" s="364"/>
      <c r="E8" s="364"/>
      <c r="F8" s="549" t="s">
        <v>1345</v>
      </c>
      <c r="G8" s="549" t="str">
        <f>IFERROR(VLOOKUP(F8,ISCO_Prevodnik!$A$10:$B$21,2,0),"")</f>
        <v>Bezpecnost</v>
      </c>
      <c r="H8" s="549"/>
      <c r="I8" s="549" t="str">
        <f>IFERROR(VLOOKUP(H8,ISCO_Prevodnik!$E$10:$F$31,2,0),"")</f>
        <v/>
      </c>
      <c r="J8" s="550">
        <v>0.1</v>
      </c>
      <c r="K8" s="480">
        <f t="shared" si="2"/>
        <v>1039</v>
      </c>
      <c r="L8" s="488">
        <f t="shared" si="3"/>
        <v>472</v>
      </c>
      <c r="M8" s="482">
        <f t="shared" si="5"/>
        <v>490408</v>
      </c>
      <c r="Q8" s="429" t="s">
        <v>1342</v>
      </c>
      <c r="R8" s="552">
        <v>529</v>
      </c>
      <c r="S8" s="504">
        <v>529</v>
      </c>
      <c r="T8" s="430">
        <v>0.5</v>
      </c>
      <c r="U8" s="432">
        <f t="shared" si="4"/>
        <v>7289</v>
      </c>
      <c r="V8" s="430">
        <f t="shared" si="0"/>
        <v>0.21050655576734245</v>
      </c>
      <c r="W8" s="430" t="str">
        <f t="shared" si="1"/>
        <v>OK</v>
      </c>
      <c r="X8" s="431"/>
    </row>
    <row r="9" spans="1:24">
      <c r="A9" s="364"/>
      <c r="B9" s="364"/>
      <c r="C9" s="364"/>
      <c r="D9" s="364"/>
      <c r="E9" s="364"/>
      <c r="F9" s="549" t="s">
        <v>1346</v>
      </c>
      <c r="G9" s="549" t="str">
        <f>IFERROR(VLOOKUP(F9,ISCO_Prevodnik!$A$10:$B$21,2,0),"")</f>
        <v>Infrastrutkura</v>
      </c>
      <c r="H9" s="549"/>
      <c r="I9" s="549" t="str">
        <f>IFERROR(VLOOKUP(H9,ISCO_Prevodnik!$E$10:$F$31,2,0),"")</f>
        <v/>
      </c>
      <c r="J9" s="550">
        <v>0.1</v>
      </c>
      <c r="K9" s="480">
        <f t="shared" si="2"/>
        <v>1039</v>
      </c>
      <c r="L9" s="488">
        <f t="shared" si="3"/>
        <v>425</v>
      </c>
      <c r="M9" s="482">
        <f t="shared" si="5"/>
        <v>441575</v>
      </c>
      <c r="Q9" s="429" t="s">
        <v>1344</v>
      </c>
      <c r="R9" s="552">
        <v>520</v>
      </c>
      <c r="S9" s="504">
        <v>520</v>
      </c>
      <c r="T9" s="430">
        <v>0.05</v>
      </c>
      <c r="U9" s="432">
        <f t="shared" si="4"/>
        <v>1541</v>
      </c>
      <c r="V9" s="430">
        <f t="shared" si="0"/>
        <v>4.4504129844625429E-2</v>
      </c>
      <c r="W9" s="430" t="str">
        <f t="shared" si="1"/>
        <v>OK</v>
      </c>
      <c r="X9" s="431"/>
    </row>
    <row r="10" spans="1:24">
      <c r="A10" s="364"/>
      <c r="B10" s="364"/>
      <c r="C10" s="364"/>
      <c r="D10" s="364"/>
      <c r="E10" s="364"/>
      <c r="F10" s="549" t="s">
        <v>1347</v>
      </c>
      <c r="G10" s="549" t="str">
        <f>IFERROR(VLOOKUP(F10,ISCO_Prevodnik!$A$10:$B$21,2,0),"")</f>
        <v>Databazy</v>
      </c>
      <c r="H10" s="549"/>
      <c r="I10" s="549" t="str">
        <f>IFERROR(VLOOKUP(H10,ISCO_Prevodnik!$E$10:$F$31,2,0),"")</f>
        <v/>
      </c>
      <c r="J10" s="550">
        <v>0.11</v>
      </c>
      <c r="K10" s="480">
        <f t="shared" si="2"/>
        <v>1143</v>
      </c>
      <c r="L10" s="488">
        <f t="shared" si="3"/>
        <v>451</v>
      </c>
      <c r="M10" s="482">
        <f t="shared" ref="M10:M15" si="6">K10*L10</f>
        <v>515493</v>
      </c>
      <c r="Q10" s="429" t="s">
        <v>1345</v>
      </c>
      <c r="R10" s="552">
        <v>472</v>
      </c>
      <c r="S10" s="504">
        <v>472</v>
      </c>
      <c r="T10" s="430">
        <v>0.1</v>
      </c>
      <c r="U10" s="432">
        <f t="shared" si="4"/>
        <v>1610</v>
      </c>
      <c r="V10" s="430">
        <f t="shared" si="0"/>
        <v>4.6496852076474325E-2</v>
      </c>
      <c r="W10" s="430" t="str">
        <f t="shared" si="1"/>
        <v>OK</v>
      </c>
      <c r="X10" s="431"/>
    </row>
    <row r="11" spans="1:24">
      <c r="A11" s="364"/>
      <c r="B11" s="364"/>
      <c r="C11" s="364"/>
      <c r="D11" s="364"/>
      <c r="E11" s="364"/>
      <c r="F11" s="549"/>
      <c r="G11" s="549" t="str">
        <f>IFERROR(VLOOKUP(F11,ISCO_Prevodnik!$A$10:$B$21,2,0),"")</f>
        <v/>
      </c>
      <c r="H11" s="549"/>
      <c r="I11" s="549" t="str">
        <f>IFERROR(VLOOKUP(H11,ISCO_Prevodnik!$E$10:$F$31,2,0),"")</f>
        <v/>
      </c>
      <c r="J11" s="550"/>
      <c r="K11" s="480">
        <f t="shared" si="2"/>
        <v>0</v>
      </c>
      <c r="L11" s="488">
        <f t="shared" si="3"/>
        <v>0</v>
      </c>
      <c r="M11" s="482">
        <f t="shared" si="6"/>
        <v>0</v>
      </c>
      <c r="Q11" s="429" t="s">
        <v>1346</v>
      </c>
      <c r="R11" s="552">
        <v>425</v>
      </c>
      <c r="S11" s="504">
        <v>425</v>
      </c>
      <c r="T11" s="430">
        <v>0.3</v>
      </c>
      <c r="U11" s="432">
        <f t="shared" si="4"/>
        <v>3636</v>
      </c>
      <c r="V11" s="430">
        <f t="shared" si="0"/>
        <v>0.10500779760873333</v>
      </c>
      <c r="W11" s="430" t="str">
        <f t="shared" si="1"/>
        <v>OK</v>
      </c>
      <c r="X11" s="431"/>
    </row>
    <row r="12" spans="1:24">
      <c r="A12" s="364"/>
      <c r="B12" s="364"/>
      <c r="C12" s="364"/>
      <c r="D12" s="364"/>
      <c r="E12" s="364"/>
      <c r="F12" s="549"/>
      <c r="G12" s="549" t="str">
        <f>IFERROR(VLOOKUP(F12,ISCO_Prevodnik!$A$10:$B$21,2,0),"")</f>
        <v/>
      </c>
      <c r="H12" s="549"/>
      <c r="I12" s="549" t="str">
        <f>IFERROR(VLOOKUP(H12,ISCO_Prevodnik!$E$10:$F$31,2,0),"")</f>
        <v/>
      </c>
      <c r="J12" s="550"/>
      <c r="K12" s="480">
        <f t="shared" si="2"/>
        <v>0</v>
      </c>
      <c r="L12" s="488">
        <f t="shared" si="3"/>
        <v>0</v>
      </c>
      <c r="M12" s="482">
        <f t="shared" si="6"/>
        <v>0</v>
      </c>
      <c r="Q12" s="429" t="s">
        <v>1347</v>
      </c>
      <c r="R12" s="552">
        <v>451</v>
      </c>
      <c r="S12" s="504">
        <v>451</v>
      </c>
      <c r="T12" s="430">
        <v>0.15</v>
      </c>
      <c r="U12" s="432">
        <f t="shared" si="4"/>
        <v>1143</v>
      </c>
      <c r="V12" s="430">
        <f t="shared" si="0"/>
        <v>3.300987697106221E-2</v>
      </c>
      <c r="W12" s="430" t="str">
        <f t="shared" si="1"/>
        <v>OK</v>
      </c>
      <c r="X12" s="431"/>
    </row>
    <row r="13" spans="1:24">
      <c r="A13" s="364"/>
      <c r="B13" s="364"/>
      <c r="C13" s="364"/>
      <c r="D13" s="364"/>
      <c r="E13" s="364"/>
      <c r="F13" s="549"/>
      <c r="G13" s="549" t="str">
        <f>IFERROR(VLOOKUP(F13,ISCO_Prevodnik!$A$10:$B$21,2,0),"")</f>
        <v/>
      </c>
      <c r="H13" s="549"/>
      <c r="I13" s="549" t="str">
        <f>IFERROR(VLOOKUP(H13,ISCO_Prevodnik!$E$10:$F$31,2,0),"")</f>
        <v/>
      </c>
      <c r="J13" s="550"/>
      <c r="K13" s="480">
        <f t="shared" si="2"/>
        <v>0</v>
      </c>
      <c r="L13" s="488">
        <f t="shared" si="3"/>
        <v>0</v>
      </c>
      <c r="M13" s="482">
        <f t="shared" si="6"/>
        <v>0</v>
      </c>
      <c r="Q13" s="429" t="s">
        <v>1348</v>
      </c>
      <c r="R13" s="552">
        <v>400</v>
      </c>
      <c r="S13" s="504">
        <v>400</v>
      </c>
      <c r="T13" s="430">
        <v>0.05</v>
      </c>
      <c r="U13" s="432">
        <f t="shared" si="4"/>
        <v>1298</v>
      </c>
      <c r="V13" s="430">
        <f t="shared" si="0"/>
        <v>3.7486281984635821E-2</v>
      </c>
      <c r="W13" s="430" t="str">
        <f t="shared" si="1"/>
        <v>OK</v>
      </c>
      <c r="X13" s="431"/>
    </row>
    <row r="14" spans="1:24">
      <c r="A14" s="364"/>
      <c r="B14" s="364"/>
      <c r="C14" s="364"/>
      <c r="D14" s="364"/>
      <c r="E14" s="364"/>
      <c r="F14" s="549"/>
      <c r="G14" s="549" t="str">
        <f>IFERROR(VLOOKUP(F14,ISCO_Prevodnik!$A$10:$B$21,2,0),"")</f>
        <v/>
      </c>
      <c r="H14" s="549"/>
      <c r="I14" s="549" t="str">
        <f>IFERROR(VLOOKUP(H14,ISCO_Prevodnik!$E$10:$F$31,2,0),"")</f>
        <v/>
      </c>
      <c r="J14" s="550"/>
      <c r="K14" s="480">
        <f t="shared" si="2"/>
        <v>0</v>
      </c>
      <c r="L14" s="488">
        <f t="shared" si="3"/>
        <v>0</v>
      </c>
      <c r="M14" s="482">
        <f t="shared" si="6"/>
        <v>0</v>
      </c>
      <c r="Q14" s="429" t="s">
        <v>1349</v>
      </c>
      <c r="R14" s="552">
        <v>488</v>
      </c>
      <c r="S14" s="504">
        <v>488</v>
      </c>
      <c r="T14" s="430">
        <v>0.5</v>
      </c>
      <c r="U14" s="432">
        <f t="shared" si="4"/>
        <v>0</v>
      </c>
      <c r="V14" s="430">
        <f t="shared" si="0"/>
        <v>0</v>
      </c>
      <c r="W14" s="430" t="str">
        <f t="shared" si="1"/>
        <v>OK</v>
      </c>
      <c r="X14" s="431"/>
    </row>
    <row r="15" spans="1:24">
      <c r="A15" s="364"/>
      <c r="B15" s="364"/>
      <c r="C15" s="364"/>
      <c r="D15" s="364"/>
      <c r="E15" s="364"/>
      <c r="F15" s="549"/>
      <c r="G15" s="549" t="str">
        <f>IFERROR(VLOOKUP(F15,ISCO_Prevodnik!$A$10:$B$21,2,0),"")</f>
        <v/>
      </c>
      <c r="H15" s="549"/>
      <c r="I15" s="549" t="str">
        <f>IFERROR(VLOOKUP(H15,ISCO_Prevodnik!$E$10:$F$31,2,0),"")</f>
        <v/>
      </c>
      <c r="J15" s="550"/>
      <c r="K15" s="480">
        <f t="shared" si="2"/>
        <v>0</v>
      </c>
      <c r="L15" s="488">
        <f t="shared" si="3"/>
        <v>0</v>
      </c>
      <c r="M15" s="482">
        <f t="shared" si="6"/>
        <v>0</v>
      </c>
      <c r="Q15" s="429" t="s">
        <v>1350</v>
      </c>
      <c r="R15" s="552">
        <v>400</v>
      </c>
      <c r="S15" s="504">
        <v>400</v>
      </c>
      <c r="T15" s="430">
        <v>0.2</v>
      </c>
      <c r="U15" s="432">
        <f t="shared" si="4"/>
        <v>0</v>
      </c>
      <c r="V15" s="430">
        <f t="shared" si="0"/>
        <v>0</v>
      </c>
      <c r="W15" s="430" t="str">
        <f t="shared" si="1"/>
        <v>OK</v>
      </c>
      <c r="X15" s="431"/>
    </row>
    <row r="16" spans="1:24">
      <c r="A16" s="367" t="s">
        <v>1351</v>
      </c>
      <c r="B16" s="551">
        <v>0.55000000000000004</v>
      </c>
      <c r="C16" s="550">
        <f>SUM(K16:K27)/$K$1</f>
        <v>0.55002021602264195</v>
      </c>
      <c r="D16" s="480">
        <f>B16*SUM(MODULY_CBA!$J$3:$J$23)</f>
        <v>19043.2</v>
      </c>
      <c r="E16" s="637">
        <f>IFERROR(SUM(M16:M27)/SUM(K16:K27),0)</f>
        <v>443.70286164347596</v>
      </c>
      <c r="F16" s="549" t="s">
        <v>1339</v>
      </c>
      <c r="G16" s="549" t="str">
        <f>IFERROR(VLOOKUP(F16,ISCO_Prevodnik!$A$10:$B$21,2,0),"")</f>
        <v>IT_architekt</v>
      </c>
      <c r="H16" s="549"/>
      <c r="I16" s="549" t="str">
        <f>IFERROR(VLOOKUP(H16,ISCO_Prevodnik!$E$10:$F$31,2,0),"")</f>
        <v/>
      </c>
      <c r="J16" s="550">
        <v>0.11</v>
      </c>
      <c r="K16" s="480">
        <f>ROUND(J16*$D$16,0)</f>
        <v>2095</v>
      </c>
      <c r="L16" s="488">
        <f t="shared" si="3"/>
        <v>525</v>
      </c>
      <c r="M16" s="482">
        <f t="shared" si="5"/>
        <v>1099875</v>
      </c>
      <c r="N16" s="505"/>
      <c r="Q16" s="640" t="s">
        <v>1352</v>
      </c>
      <c r="R16" s="552"/>
      <c r="S16" s="504" t="s">
        <v>151</v>
      </c>
      <c r="T16" s="430" t="s">
        <v>151</v>
      </c>
      <c r="U16" s="432">
        <f t="shared" si="4"/>
        <v>0</v>
      </c>
      <c r="V16" s="430" t="s">
        <v>151</v>
      </c>
      <c r="W16" s="430" t="s">
        <v>151</v>
      </c>
      <c r="X16" s="431"/>
    </row>
    <row r="17" spans="1:24">
      <c r="A17" s="364"/>
      <c r="B17" s="364"/>
      <c r="C17" s="364"/>
      <c r="D17" s="364"/>
      <c r="E17" s="364"/>
      <c r="F17" s="549" t="s">
        <v>1341</v>
      </c>
      <c r="G17" s="549" t="str">
        <f>IFERROR(VLOOKUP(F17,ISCO_Prevodnik!$A$10:$B$21,2,0),"")</f>
        <v>IT_tester</v>
      </c>
      <c r="H17" s="549"/>
      <c r="I17" s="549" t="str">
        <f>IFERROR(VLOOKUP(H17,ISCO_Prevodnik!$E$10:$F$31,2,0),"")</f>
        <v/>
      </c>
      <c r="J17" s="550">
        <v>0.2</v>
      </c>
      <c r="K17" s="480">
        <f t="shared" ref="K17:K27" si="7">ROUND(J17*$D$16,0)</f>
        <v>3809</v>
      </c>
      <c r="L17" s="488">
        <f t="shared" si="3"/>
        <v>377</v>
      </c>
      <c r="M17" s="482">
        <f t="shared" si="5"/>
        <v>1435993</v>
      </c>
      <c r="Q17" s="640" t="s">
        <v>1353</v>
      </c>
      <c r="R17" s="552"/>
      <c r="S17" s="504" t="s">
        <v>151</v>
      </c>
      <c r="T17" s="430" t="s">
        <v>151</v>
      </c>
      <c r="U17" s="432">
        <f t="shared" si="4"/>
        <v>0</v>
      </c>
      <c r="V17" s="430" t="s">
        <v>151</v>
      </c>
      <c r="W17" s="430" t="s">
        <v>151</v>
      </c>
      <c r="X17" s="431"/>
    </row>
    <row r="18" spans="1:24">
      <c r="A18" s="364"/>
      <c r="B18" s="364"/>
      <c r="C18" s="364"/>
      <c r="D18" s="364"/>
      <c r="E18" s="364"/>
      <c r="F18" s="549" t="s">
        <v>1343</v>
      </c>
      <c r="G18" s="549" t="str">
        <f>IFERROR(VLOOKUP(F18,ISCO_Prevodnik!$A$10:$B$21,2,0),"")</f>
        <v>IT_programator</v>
      </c>
      <c r="H18" s="549"/>
      <c r="I18" s="549" t="str">
        <f>IFERROR(VLOOKUP(H18,ISCO_Prevodnik!$E$10:$F$31,2,0),"")</f>
        <v/>
      </c>
      <c r="J18" s="550">
        <v>0.5</v>
      </c>
      <c r="K18" s="480">
        <f t="shared" si="7"/>
        <v>9522</v>
      </c>
      <c r="L18" s="488">
        <f t="shared" si="3"/>
        <v>420</v>
      </c>
      <c r="M18" s="482">
        <f t="shared" si="5"/>
        <v>3999240</v>
      </c>
      <c r="Q18" s="640" t="s">
        <v>1354</v>
      </c>
      <c r="R18" s="552"/>
      <c r="S18" s="504" t="s">
        <v>151</v>
      </c>
      <c r="T18" s="430" t="s">
        <v>151</v>
      </c>
      <c r="U18" s="432">
        <f t="shared" si="4"/>
        <v>0</v>
      </c>
      <c r="V18" s="430" t="s">
        <v>151</v>
      </c>
      <c r="W18" s="430" t="s">
        <v>151</v>
      </c>
      <c r="X18" s="431"/>
    </row>
    <row r="19" spans="1:24">
      <c r="A19" s="364"/>
      <c r="B19" s="364"/>
      <c r="C19" s="364"/>
      <c r="D19" s="364"/>
      <c r="E19" s="364"/>
      <c r="F19" s="549" t="s">
        <v>1340</v>
      </c>
      <c r="G19" s="549" t="str">
        <f>IFERROR(VLOOKUP(F19,ISCO_Prevodnik!$A$10:$B$21,2,0),"")</f>
        <v>Projektovy_manazer</v>
      </c>
      <c r="H19" s="549"/>
      <c r="I19" s="549" t="str">
        <f>IFERROR(VLOOKUP(H19,ISCO_Prevodnik!$E$10:$F$31,2,0),"")</f>
        <v/>
      </c>
      <c r="J19" s="550">
        <v>0.04</v>
      </c>
      <c r="K19" s="480">
        <f t="shared" si="7"/>
        <v>762</v>
      </c>
      <c r="L19" s="488">
        <f t="shared" si="3"/>
        <v>539</v>
      </c>
      <c r="M19" s="482">
        <f t="shared" si="5"/>
        <v>410718</v>
      </c>
      <c r="Q19" s="640" t="s">
        <v>1355</v>
      </c>
      <c r="R19" s="552"/>
      <c r="S19" s="504" t="s">
        <v>151</v>
      </c>
      <c r="T19" s="430" t="s">
        <v>151</v>
      </c>
      <c r="U19" s="432">
        <f t="shared" si="4"/>
        <v>0</v>
      </c>
      <c r="V19" s="430" t="s">
        <v>151</v>
      </c>
      <c r="W19" s="430" t="s">
        <v>151</v>
      </c>
      <c r="X19" s="431"/>
    </row>
    <row r="20" spans="1:24">
      <c r="A20" s="364"/>
      <c r="B20" s="364"/>
      <c r="C20" s="364"/>
      <c r="D20" s="364"/>
      <c r="E20" s="364"/>
      <c r="F20" s="549" t="s">
        <v>1342</v>
      </c>
      <c r="G20" s="549" t="str">
        <f>IFERROR(VLOOKUP(F20,ISCO_Prevodnik!$A$10:$B$21,2,0),"")</f>
        <v>IT_analytik</v>
      </c>
      <c r="H20" s="549"/>
      <c r="I20" s="549" t="str">
        <f>IFERROR(VLOOKUP(H20,ISCO_Prevodnik!$E$10:$F$31,2,0),"")</f>
        <v/>
      </c>
      <c r="J20" s="550">
        <v>0.11</v>
      </c>
      <c r="K20" s="480">
        <f t="shared" si="7"/>
        <v>2095</v>
      </c>
      <c r="L20" s="488">
        <f t="shared" si="3"/>
        <v>529</v>
      </c>
      <c r="M20" s="482">
        <f t="shared" si="5"/>
        <v>1108255</v>
      </c>
      <c r="Q20" s="640" t="s">
        <v>1356</v>
      </c>
      <c r="R20" s="552"/>
      <c r="S20" s="504" t="s">
        <v>151</v>
      </c>
      <c r="T20" s="430" t="s">
        <v>151</v>
      </c>
      <c r="U20" s="432">
        <f t="shared" si="4"/>
        <v>0</v>
      </c>
      <c r="V20" s="430" t="s">
        <v>151</v>
      </c>
      <c r="W20" s="430" t="s">
        <v>151</v>
      </c>
      <c r="X20" s="431"/>
    </row>
    <row r="21" spans="1:24">
      <c r="A21" s="364"/>
      <c r="B21" s="364"/>
      <c r="C21" s="364"/>
      <c r="D21" s="364"/>
      <c r="E21" s="364"/>
      <c r="F21" s="549" t="s">
        <v>1344</v>
      </c>
      <c r="G21" s="549" t="str">
        <f>IFERROR(VLOOKUP(F21,ISCO_Prevodnik!$A$10:$B$21,2,0),"")</f>
        <v>Kvalita</v>
      </c>
      <c r="H21" s="549"/>
      <c r="I21" s="549" t="str">
        <f>IFERROR(VLOOKUP(H21,ISCO_Prevodnik!$E$10:$F$31,2,0),"")</f>
        <v/>
      </c>
      <c r="J21" s="550">
        <v>0.04</v>
      </c>
      <c r="K21" s="480">
        <f t="shared" si="7"/>
        <v>762</v>
      </c>
      <c r="L21" s="488">
        <f t="shared" si="3"/>
        <v>520</v>
      </c>
      <c r="M21" s="482">
        <f t="shared" si="5"/>
        <v>396240</v>
      </c>
      <c r="Q21" s="640" t="s">
        <v>1357</v>
      </c>
      <c r="R21" s="552"/>
      <c r="S21" s="504" t="s">
        <v>151</v>
      </c>
      <c r="T21" s="430" t="s">
        <v>151</v>
      </c>
      <c r="U21" s="432">
        <f t="shared" si="4"/>
        <v>0</v>
      </c>
      <c r="V21" s="430" t="s">
        <v>151</v>
      </c>
      <c r="W21" s="430" t="s">
        <v>151</v>
      </c>
      <c r="X21" s="431"/>
    </row>
    <row r="22" spans="1:24">
      <c r="A22" s="364"/>
      <c r="B22" s="599"/>
      <c r="C22" s="599"/>
      <c r="D22" s="600"/>
      <c r="E22" s="601"/>
      <c r="F22" s="549" t="s">
        <v>1345</v>
      </c>
      <c r="G22" s="549" t="str">
        <f>IFERROR(VLOOKUP(F22,ISCO_Prevodnik!$A$10:$B$21,2,0),"")</f>
        <v>Bezpecnost</v>
      </c>
      <c r="H22" s="549"/>
      <c r="I22" s="549" t="str">
        <f>IFERROR(VLOOKUP(H22,ISCO_Prevodnik!$E$10:$F$31,2,0),"")</f>
        <v/>
      </c>
      <c r="J22" s="550"/>
      <c r="K22" s="480">
        <f t="shared" si="7"/>
        <v>0</v>
      </c>
      <c r="L22" s="488">
        <f t="shared" si="3"/>
        <v>472</v>
      </c>
      <c r="M22" s="482">
        <f t="shared" si="5"/>
        <v>0</v>
      </c>
      <c r="Q22" s="623"/>
      <c r="R22" s="552"/>
      <c r="S22" s="504" t="s">
        <v>151</v>
      </c>
      <c r="T22" s="430" t="s">
        <v>151</v>
      </c>
      <c r="U22" s="432">
        <f t="shared" si="4"/>
        <v>0</v>
      </c>
      <c r="V22" s="430" t="s">
        <v>151</v>
      </c>
      <c r="W22" s="430" t="s">
        <v>151</v>
      </c>
      <c r="X22" s="431"/>
    </row>
    <row r="23" spans="1:24">
      <c r="A23" s="364"/>
      <c r="B23" s="364"/>
      <c r="C23" s="364"/>
      <c r="D23" s="364"/>
      <c r="E23" s="364"/>
      <c r="F23" s="549" t="s">
        <v>1347</v>
      </c>
      <c r="G23" s="549" t="str">
        <f>IFERROR(VLOOKUP(F23,ISCO_Prevodnik!$A$10:$B$21,2,0),"")</f>
        <v>Databazy</v>
      </c>
      <c r="H23" s="549"/>
      <c r="I23" s="549" t="str">
        <f>IFERROR(VLOOKUP(H23,ISCO_Prevodnik!$E$10:$F$31,2,0),"")</f>
        <v/>
      </c>
      <c r="J23" s="550"/>
      <c r="K23" s="480">
        <f t="shared" si="7"/>
        <v>0</v>
      </c>
      <c r="L23" s="488">
        <f t="shared" si="3"/>
        <v>451</v>
      </c>
      <c r="M23" s="482">
        <f t="shared" si="5"/>
        <v>0</v>
      </c>
      <c r="Q23" s="623"/>
      <c r="R23" s="552"/>
      <c r="S23" s="504" t="s">
        <v>151</v>
      </c>
      <c r="T23" s="430" t="s">
        <v>151</v>
      </c>
      <c r="U23" s="432">
        <f t="shared" si="4"/>
        <v>0</v>
      </c>
      <c r="V23" s="430" t="s">
        <v>151</v>
      </c>
      <c r="W23" s="430" t="s">
        <v>151</v>
      </c>
      <c r="X23" s="431"/>
    </row>
    <row r="24" spans="1:24">
      <c r="A24" s="364"/>
      <c r="B24" s="364"/>
      <c r="C24" s="364"/>
      <c r="D24" s="364"/>
      <c r="E24" s="364"/>
      <c r="F24" s="549"/>
      <c r="G24" s="549" t="str">
        <f>IFERROR(VLOOKUP(F24,ISCO_Prevodnik!$A$10:$B$21,2,0),"")</f>
        <v/>
      </c>
      <c r="H24" s="549"/>
      <c r="I24" s="549" t="str">
        <f>IFERROR(VLOOKUP(H24,ISCO_Prevodnik!$E$10:$F$31,2,0),"")</f>
        <v/>
      </c>
      <c r="J24" s="550"/>
      <c r="K24" s="480">
        <f t="shared" si="7"/>
        <v>0</v>
      </c>
      <c r="L24" s="488">
        <f t="shared" si="3"/>
        <v>0</v>
      </c>
      <c r="M24" s="482">
        <f t="shared" si="5"/>
        <v>0</v>
      </c>
      <c r="Q24" s="623"/>
      <c r="R24" s="552"/>
      <c r="S24" s="504" t="s">
        <v>151</v>
      </c>
      <c r="T24" s="430" t="s">
        <v>151</v>
      </c>
      <c r="U24" s="432">
        <f t="shared" si="4"/>
        <v>0</v>
      </c>
      <c r="V24" s="430" t="s">
        <v>151</v>
      </c>
      <c r="W24" s="430" t="s">
        <v>151</v>
      </c>
      <c r="X24" s="431"/>
    </row>
    <row r="25" spans="1:24">
      <c r="A25" s="364"/>
      <c r="B25" s="364"/>
      <c r="C25" s="364"/>
      <c r="D25" s="364"/>
      <c r="E25" s="364"/>
      <c r="F25" s="549"/>
      <c r="G25" s="549" t="str">
        <f>IFERROR(VLOOKUP(F25,ISCO_Prevodnik!$A$10:$B$21,2,0),"")</f>
        <v/>
      </c>
      <c r="H25" s="549"/>
      <c r="I25" s="549" t="str">
        <f>IFERROR(VLOOKUP(H25,ISCO_Prevodnik!$E$10:$F$31,2,0),"")</f>
        <v/>
      </c>
      <c r="J25" s="550"/>
      <c r="K25" s="480">
        <f t="shared" si="7"/>
        <v>0</v>
      </c>
      <c r="L25" s="488">
        <f t="shared" si="3"/>
        <v>0</v>
      </c>
      <c r="M25" s="482">
        <f t="shared" si="5"/>
        <v>0</v>
      </c>
      <c r="Q25" s="623"/>
      <c r="R25" s="552"/>
      <c r="S25" s="504" t="s">
        <v>151</v>
      </c>
      <c r="T25" s="430" t="s">
        <v>151</v>
      </c>
      <c r="U25" s="432">
        <f t="shared" si="4"/>
        <v>0</v>
      </c>
      <c r="V25" s="430" t="s">
        <v>151</v>
      </c>
      <c r="W25" s="430" t="s">
        <v>151</v>
      </c>
      <c r="X25" s="431"/>
    </row>
    <row r="26" spans="1:24">
      <c r="A26" s="364"/>
      <c r="B26" s="364"/>
      <c r="C26" s="364"/>
      <c r="D26" s="364"/>
      <c r="E26" s="364"/>
      <c r="F26" s="549"/>
      <c r="G26" s="549" t="str">
        <f>IFERROR(VLOOKUP(F26,ISCO_Prevodnik!$A$10:$B$21,2,0),"")</f>
        <v/>
      </c>
      <c r="H26" s="549"/>
      <c r="I26" s="549" t="str">
        <f>IFERROR(VLOOKUP(H26,ISCO_Prevodnik!$E$10:$F$31,2,0),"")</f>
        <v/>
      </c>
      <c r="J26" s="550"/>
      <c r="K26" s="480">
        <f t="shared" si="7"/>
        <v>0</v>
      </c>
      <c r="L26" s="488">
        <f t="shared" si="3"/>
        <v>0</v>
      </c>
      <c r="M26" s="482">
        <f t="shared" si="5"/>
        <v>0</v>
      </c>
      <c r="Q26" s="623"/>
      <c r="R26" s="552"/>
      <c r="S26" s="504" t="s">
        <v>151</v>
      </c>
      <c r="T26" s="430" t="s">
        <v>151</v>
      </c>
      <c r="U26" s="432">
        <f t="shared" si="4"/>
        <v>0</v>
      </c>
      <c r="V26" s="430" t="s">
        <v>151</v>
      </c>
      <c r="W26" s="430" t="s">
        <v>151</v>
      </c>
      <c r="X26" s="431"/>
    </row>
    <row r="27" spans="1:24">
      <c r="A27" s="364"/>
      <c r="B27" s="364"/>
      <c r="C27" s="364"/>
      <c r="D27" s="364"/>
      <c r="E27" s="364"/>
      <c r="F27" s="549"/>
      <c r="G27" s="549" t="str">
        <f>IFERROR(VLOOKUP(F27,ISCO_Prevodnik!$A$10:$B$21,2,0),"")</f>
        <v/>
      </c>
      <c r="H27" s="549"/>
      <c r="I27" s="549" t="str">
        <f>IFERROR(VLOOKUP(H27,ISCO_Prevodnik!$E$10:$F$31,2,0),"")</f>
        <v/>
      </c>
      <c r="J27" s="550"/>
      <c r="K27" s="480">
        <f t="shared" si="7"/>
        <v>0</v>
      </c>
      <c r="L27" s="488">
        <f t="shared" si="3"/>
        <v>0</v>
      </c>
      <c r="M27" s="482">
        <f t="shared" si="5"/>
        <v>0</v>
      </c>
      <c r="Q27" s="623"/>
      <c r="R27" s="552"/>
      <c r="S27" s="504" t="s">
        <v>151</v>
      </c>
      <c r="T27" s="430" t="s">
        <v>151</v>
      </c>
      <c r="U27" s="432">
        <f t="shared" si="4"/>
        <v>0</v>
      </c>
      <c r="V27" s="430" t="s">
        <v>151</v>
      </c>
      <c r="W27" s="430" t="s">
        <v>151</v>
      </c>
      <c r="X27" s="431"/>
    </row>
    <row r="28" spans="1:24">
      <c r="A28" s="367" t="s">
        <v>1358</v>
      </c>
      <c r="B28" s="551">
        <v>0.15</v>
      </c>
      <c r="C28" s="550">
        <f>SUM(K28:K39)/$K$1</f>
        <v>0.14997400797088892</v>
      </c>
      <c r="D28" s="480">
        <f>B28*SUM(MODULY_CBA!$J$3:$J$23)</f>
        <v>5193.5999999999995</v>
      </c>
      <c r="E28" s="481">
        <f>IFERROR(SUM(M28:M39)/SUM(K28:K39),0)</f>
        <v>438.22645869439629</v>
      </c>
      <c r="F28" s="549" t="s">
        <v>1339</v>
      </c>
      <c r="G28" s="549" t="str">
        <f>IFERROR(VLOOKUP(F28,ISCO_Prevodnik!$A$10:$B$21,2,0),"")</f>
        <v>IT_architekt</v>
      </c>
      <c r="H28" s="549"/>
      <c r="I28" s="549" t="str">
        <f>IFERROR(VLOOKUP(H28,ISCO_Prevodnik!$E$10:$F$31,2,0),"")</f>
        <v/>
      </c>
      <c r="J28" s="550">
        <v>5.0099999999999999E-2</v>
      </c>
      <c r="K28" s="480">
        <f>ROUND(J28*$D$28,0)</f>
        <v>260</v>
      </c>
      <c r="L28" s="488">
        <f t="shared" si="3"/>
        <v>525</v>
      </c>
      <c r="M28" s="482">
        <f t="shared" si="5"/>
        <v>136500</v>
      </c>
    </row>
    <row r="29" spans="1:24">
      <c r="A29" s="364"/>
      <c r="B29" s="364"/>
      <c r="C29" s="364"/>
      <c r="D29" s="364"/>
      <c r="E29" s="364"/>
      <c r="F29" s="549" t="s">
        <v>1340</v>
      </c>
      <c r="G29" s="549" t="str">
        <f>IFERROR(VLOOKUP(F29,ISCO_Prevodnik!$A$10:$B$21,2,0),"")</f>
        <v>Projektovy_manazer</v>
      </c>
      <c r="H29" s="549"/>
      <c r="I29" s="549" t="str">
        <f>IFERROR(VLOOKUP(H29,ISCO_Prevodnik!$E$10:$F$31,2,0),"")</f>
        <v/>
      </c>
      <c r="J29" s="550">
        <v>3.9899999999999998E-2</v>
      </c>
      <c r="K29" s="480">
        <f t="shared" ref="K29:K39" si="8">ROUND(J29*$D$28,0)</f>
        <v>207</v>
      </c>
      <c r="L29" s="488">
        <f t="shared" si="3"/>
        <v>539</v>
      </c>
      <c r="M29" s="482">
        <f t="shared" si="5"/>
        <v>111573</v>
      </c>
    </row>
    <row r="30" spans="1:24">
      <c r="A30" s="364"/>
      <c r="B30" s="364"/>
      <c r="C30" s="364"/>
      <c r="D30" s="364"/>
      <c r="E30" s="364"/>
      <c r="F30" s="549" t="s">
        <v>1344</v>
      </c>
      <c r="G30" s="549" t="str">
        <f>IFERROR(VLOOKUP(F30,ISCO_Prevodnik!$A$10:$B$21,2,0),"")</f>
        <v>Kvalita</v>
      </c>
      <c r="H30" s="549"/>
      <c r="I30" s="549" t="str">
        <f>IFERROR(VLOOKUP(H30,ISCO_Prevodnik!$E$10:$F$31,2,0),"")</f>
        <v/>
      </c>
      <c r="J30" s="550">
        <v>0.05</v>
      </c>
      <c r="K30" s="480">
        <f t="shared" si="8"/>
        <v>260</v>
      </c>
      <c r="L30" s="488">
        <f t="shared" si="3"/>
        <v>520</v>
      </c>
      <c r="M30" s="482">
        <f t="shared" si="5"/>
        <v>135200</v>
      </c>
    </row>
    <row r="31" spans="1:24">
      <c r="A31" s="364"/>
      <c r="B31" s="364"/>
      <c r="C31" s="364"/>
      <c r="D31" s="364"/>
      <c r="E31" s="364"/>
      <c r="F31" s="549" t="s">
        <v>1345</v>
      </c>
      <c r="G31" s="549" t="str">
        <f>IFERROR(VLOOKUP(F31,ISCO_Prevodnik!$A$10:$B$21,2,0),"")</f>
        <v>Bezpecnost</v>
      </c>
      <c r="H31" s="549"/>
      <c r="I31" s="549" t="str">
        <f>IFERROR(VLOOKUP(H31,ISCO_Prevodnik!$E$10:$F$31,2,0),"")</f>
        <v/>
      </c>
      <c r="J31" s="550">
        <v>0.11</v>
      </c>
      <c r="K31" s="480">
        <f t="shared" si="8"/>
        <v>571</v>
      </c>
      <c r="L31" s="488">
        <f t="shared" si="3"/>
        <v>472</v>
      </c>
      <c r="M31" s="482">
        <f t="shared" si="5"/>
        <v>269512</v>
      </c>
    </row>
    <row r="32" spans="1:24">
      <c r="A32" s="364"/>
      <c r="B32" s="364"/>
      <c r="C32" s="364"/>
      <c r="D32" s="364"/>
      <c r="E32" s="364"/>
      <c r="F32" s="549" t="s">
        <v>1346</v>
      </c>
      <c r="G32" s="549" t="str">
        <f>IFERROR(VLOOKUP(F32,ISCO_Prevodnik!$A$10:$B$21,2,0),"")</f>
        <v>Infrastrutkura</v>
      </c>
      <c r="H32" s="549"/>
      <c r="I32" s="549" t="str">
        <f>IFERROR(VLOOKUP(H32,ISCO_Prevodnik!$E$10:$F$31,2,0),"")</f>
        <v/>
      </c>
      <c r="J32" s="550">
        <v>0.5</v>
      </c>
      <c r="K32" s="480">
        <f t="shared" si="8"/>
        <v>2597</v>
      </c>
      <c r="L32" s="488">
        <f t="shared" si="3"/>
        <v>425</v>
      </c>
      <c r="M32" s="482">
        <f t="shared" si="5"/>
        <v>1103725</v>
      </c>
    </row>
    <row r="33" spans="1:13">
      <c r="A33" s="364"/>
      <c r="B33" s="364"/>
      <c r="C33" s="364"/>
      <c r="D33" s="364"/>
      <c r="E33" s="364"/>
      <c r="F33" s="549" t="s">
        <v>1348</v>
      </c>
      <c r="G33" s="549" t="str">
        <f>IFERROR(VLOOKUP(F33,ISCO_Prevodnik!$A$10:$B$21,2,0),"")</f>
        <v>Skolenie</v>
      </c>
      <c r="H33" s="549"/>
      <c r="I33" s="549" t="str">
        <f>IFERROR(VLOOKUP(H33,ISCO_Prevodnik!$E$10:$F$31,2,0),"")</f>
        <v/>
      </c>
      <c r="J33" s="550">
        <v>0.25</v>
      </c>
      <c r="K33" s="480">
        <f t="shared" si="8"/>
        <v>1298</v>
      </c>
      <c r="L33" s="488">
        <f t="shared" si="3"/>
        <v>400</v>
      </c>
      <c r="M33" s="482">
        <f t="shared" si="5"/>
        <v>519200</v>
      </c>
    </row>
    <row r="34" spans="1:13">
      <c r="F34" s="549"/>
      <c r="G34" s="549" t="str">
        <f>IFERROR(VLOOKUP(F34,ISCO_Prevodnik!$A$10:$B$21,2,0),"")</f>
        <v/>
      </c>
      <c r="H34" s="549"/>
      <c r="I34" s="549" t="str">
        <f>IFERROR(VLOOKUP(H34,ISCO_Prevodnik!$E$10:$F$31,2,0),"")</f>
        <v/>
      </c>
      <c r="J34" s="550"/>
      <c r="K34" s="480">
        <f t="shared" si="8"/>
        <v>0</v>
      </c>
      <c r="L34" s="488">
        <f t="shared" si="3"/>
        <v>0</v>
      </c>
      <c r="M34" s="482">
        <f t="shared" ref="M34:M46" si="9">K34*L34</f>
        <v>0</v>
      </c>
    </row>
    <row r="35" spans="1:13">
      <c r="F35" s="549"/>
      <c r="G35" s="549" t="str">
        <f>IFERROR(VLOOKUP(F35,ISCO_Prevodnik!$A$10:$B$21,2,0),"")</f>
        <v/>
      </c>
      <c r="H35" s="549"/>
      <c r="I35" s="549" t="str">
        <f>IFERROR(VLOOKUP(H35,ISCO_Prevodnik!$E$10:$F$31,2,0),"")</f>
        <v/>
      </c>
      <c r="J35" s="550"/>
      <c r="K35" s="480">
        <f t="shared" si="8"/>
        <v>0</v>
      </c>
      <c r="L35" s="488">
        <f t="shared" si="3"/>
        <v>0</v>
      </c>
      <c r="M35" s="482">
        <f t="shared" si="9"/>
        <v>0</v>
      </c>
    </row>
    <row r="36" spans="1:13">
      <c r="F36" s="549"/>
      <c r="G36" s="549" t="str">
        <f>IFERROR(VLOOKUP(F36,ISCO_Prevodnik!$A$10:$B$21,2,0),"")</f>
        <v/>
      </c>
      <c r="H36" s="549"/>
      <c r="I36" s="549" t="str">
        <f>IFERROR(VLOOKUP(H36,ISCO_Prevodnik!$E$10:$F$31,2,0),"")</f>
        <v/>
      </c>
      <c r="J36" s="550"/>
      <c r="K36" s="480">
        <f t="shared" si="8"/>
        <v>0</v>
      </c>
      <c r="L36" s="488">
        <f t="shared" si="3"/>
        <v>0</v>
      </c>
      <c r="M36" s="482">
        <f t="shared" si="9"/>
        <v>0</v>
      </c>
    </row>
    <row r="37" spans="1:13">
      <c r="F37" s="549"/>
      <c r="G37" s="549" t="str">
        <f>IFERROR(VLOOKUP(F37,ISCO_Prevodnik!$A$10:$B$21,2,0),"")</f>
        <v/>
      </c>
      <c r="H37" s="549"/>
      <c r="I37" s="549" t="str">
        <f>IFERROR(VLOOKUP(H37,ISCO_Prevodnik!$E$10:$F$31,2,0),"")</f>
        <v/>
      </c>
      <c r="J37" s="550"/>
      <c r="K37" s="480">
        <f t="shared" si="8"/>
        <v>0</v>
      </c>
      <c r="L37" s="488">
        <f t="shared" si="3"/>
        <v>0</v>
      </c>
      <c r="M37" s="482">
        <f t="shared" si="9"/>
        <v>0</v>
      </c>
    </row>
    <row r="38" spans="1:13">
      <c r="F38" s="549"/>
      <c r="G38" s="549" t="str">
        <f>IFERROR(VLOOKUP(F38,ISCO_Prevodnik!$A$10:$B$21,2,0),"")</f>
        <v/>
      </c>
      <c r="H38" s="549"/>
      <c r="I38" s="549" t="str">
        <f>IFERROR(VLOOKUP(H38,ISCO_Prevodnik!$E$10:$F$31,2,0),"")</f>
        <v/>
      </c>
      <c r="J38" s="550"/>
      <c r="K38" s="480">
        <f t="shared" si="8"/>
        <v>0</v>
      </c>
      <c r="L38" s="488">
        <f t="shared" si="3"/>
        <v>0</v>
      </c>
      <c r="M38" s="482">
        <f t="shared" si="9"/>
        <v>0</v>
      </c>
    </row>
    <row r="39" spans="1:13">
      <c r="F39" s="549"/>
      <c r="G39" s="549" t="str">
        <f>IFERROR(VLOOKUP(F39,ISCO_Prevodnik!$A$10:$B$21,2,0),"")</f>
        <v/>
      </c>
      <c r="H39" s="549"/>
      <c r="I39" s="549" t="str">
        <f>IFERROR(VLOOKUP(H39,ISCO_Prevodnik!$E$10:$F$31,2,0),"")</f>
        <v/>
      </c>
      <c r="J39" s="550"/>
      <c r="K39" s="480">
        <f t="shared" si="8"/>
        <v>0</v>
      </c>
      <c r="L39" s="488">
        <f t="shared" si="3"/>
        <v>0</v>
      </c>
      <c r="M39" s="482">
        <f t="shared" si="9"/>
        <v>0</v>
      </c>
    </row>
    <row r="40" spans="1:13" ht="45">
      <c r="A40" s="476" t="s">
        <v>1359</v>
      </c>
      <c r="B40" s="476" t="s">
        <v>1360</v>
      </c>
      <c r="C40" s="476"/>
      <c r="D40" s="476" t="s">
        <v>1327</v>
      </c>
      <c r="E40" s="476" t="s">
        <v>1321</v>
      </c>
      <c r="F40" s="476" t="s">
        <v>1322</v>
      </c>
      <c r="G40" s="476"/>
      <c r="H40" s="476" t="s">
        <v>1324</v>
      </c>
      <c r="I40" s="476" t="s">
        <v>1325</v>
      </c>
      <c r="J40" s="476" t="s">
        <v>1361</v>
      </c>
      <c r="K40" s="476" t="s">
        <v>1362</v>
      </c>
      <c r="L40" s="476" t="s">
        <v>1328</v>
      </c>
      <c r="M40" s="476" t="s">
        <v>122</v>
      </c>
    </row>
    <row r="41" spans="1:13">
      <c r="A41" s="367" t="s">
        <v>1363</v>
      </c>
      <c r="B41" s="553">
        <v>0</v>
      </c>
      <c r="C41" s="553"/>
      <c r="D41" s="480">
        <f>SUM(K41:K52)</f>
        <v>0</v>
      </c>
      <c r="E41" s="481">
        <f>IFERROR(SUM(M41:M52)/SUM(K41:K52),0)</f>
        <v>0</v>
      </c>
      <c r="F41" s="549"/>
      <c r="G41" s="549"/>
      <c r="H41" s="549"/>
      <c r="I41" s="549"/>
      <c r="J41" s="622"/>
      <c r="K41" s="480">
        <f>J41*$B$41*20</f>
        <v>0</v>
      </c>
      <c r="L41" s="488">
        <f>IFERROR(VLOOKUP(F41,$Q$4:$R$30,2,0),0)</f>
        <v>0</v>
      </c>
      <c r="M41" s="482">
        <f t="shared" si="9"/>
        <v>0</v>
      </c>
    </row>
    <row r="42" spans="1:13">
      <c r="A42" s="364"/>
      <c r="B42" s="364"/>
      <c r="C42" s="364"/>
      <c r="D42" s="364"/>
      <c r="E42" s="364"/>
      <c r="F42" s="549"/>
      <c r="G42" s="549"/>
      <c r="H42" s="549"/>
      <c r="I42" s="549"/>
      <c r="J42" s="622"/>
      <c r="K42" s="480">
        <f t="shared" ref="K42:K52" si="10">J42*$B$41*20</f>
        <v>0</v>
      </c>
      <c r="L42" s="488">
        <f t="shared" ref="L42:L52" si="11">IFERROR(VLOOKUP(F42,$Q$4:$R$30,2,0),0)</f>
        <v>0</v>
      </c>
      <c r="M42" s="482">
        <f t="shared" si="9"/>
        <v>0</v>
      </c>
    </row>
    <row r="43" spans="1:13">
      <c r="A43" s="364"/>
      <c r="B43" s="364"/>
      <c r="C43" s="364"/>
      <c r="D43" s="364"/>
      <c r="E43" s="364"/>
      <c r="F43" s="549"/>
      <c r="G43" s="549" t="str">
        <f>IFERROR(VLOOKUP(F43,ISCO_Prevodnik!$A$10:$B$21,2,0),"")</f>
        <v/>
      </c>
      <c r="H43" s="549"/>
      <c r="I43" s="549" t="str">
        <f>IFERROR(VLOOKUP(H43,ISCO_Prevodnik!$E$10:$F$31,2,0),"")</f>
        <v/>
      </c>
      <c r="J43" s="622"/>
      <c r="K43" s="480">
        <f t="shared" si="10"/>
        <v>0</v>
      </c>
      <c r="L43" s="488">
        <f t="shared" si="11"/>
        <v>0</v>
      </c>
      <c r="M43" s="482">
        <f t="shared" si="9"/>
        <v>0</v>
      </c>
    </row>
    <row r="44" spans="1:13">
      <c r="A44" s="364"/>
      <c r="B44" s="364"/>
      <c r="C44" s="364"/>
      <c r="D44" s="364"/>
      <c r="E44" s="364"/>
      <c r="F44" s="549"/>
      <c r="G44" s="549" t="str">
        <f>IFERROR(VLOOKUP(F44,ISCO_Prevodnik!$A$10:$B$21,2,0),"")</f>
        <v/>
      </c>
      <c r="H44" s="549"/>
      <c r="I44" s="549" t="str">
        <f>IFERROR(VLOOKUP(H44,ISCO_Prevodnik!$E$10:$F$31,2,0),"")</f>
        <v/>
      </c>
      <c r="J44" s="622"/>
      <c r="K44" s="480">
        <f t="shared" si="10"/>
        <v>0</v>
      </c>
      <c r="L44" s="488">
        <f t="shared" si="11"/>
        <v>0</v>
      </c>
      <c r="M44" s="482">
        <f t="shared" si="9"/>
        <v>0</v>
      </c>
    </row>
    <row r="45" spans="1:13">
      <c r="A45" s="364"/>
      <c r="B45" s="364"/>
      <c r="C45" s="364"/>
      <c r="D45" s="364"/>
      <c r="E45" s="364"/>
      <c r="F45" s="549"/>
      <c r="G45" s="549" t="str">
        <f>IFERROR(VLOOKUP(F45,ISCO_Prevodnik!$A$10:$B$21,2,0),"")</f>
        <v/>
      </c>
      <c r="H45" s="549"/>
      <c r="I45" s="549" t="str">
        <f>IFERROR(VLOOKUP(H45,ISCO_Prevodnik!$E$10:$F$31,2,0),"")</f>
        <v/>
      </c>
      <c r="J45" s="622"/>
      <c r="K45" s="480">
        <f t="shared" si="10"/>
        <v>0</v>
      </c>
      <c r="L45" s="488">
        <f t="shared" si="11"/>
        <v>0</v>
      </c>
      <c r="M45" s="482">
        <f t="shared" si="9"/>
        <v>0</v>
      </c>
    </row>
    <row r="46" spans="1:13">
      <c r="A46" s="364"/>
      <c r="B46" s="364"/>
      <c r="C46" s="364"/>
      <c r="D46" s="364"/>
      <c r="E46" s="364"/>
      <c r="F46" s="549"/>
      <c r="G46" s="549" t="str">
        <f>IFERROR(VLOOKUP(F46,ISCO_Prevodnik!$A$10:$B$21,2,0),"")</f>
        <v/>
      </c>
      <c r="H46" s="549"/>
      <c r="I46" s="549" t="str">
        <f>IFERROR(VLOOKUP(H46,ISCO_Prevodnik!$E$10:$F$31,2,0),"")</f>
        <v/>
      </c>
      <c r="J46" s="622"/>
      <c r="K46" s="480">
        <f t="shared" si="10"/>
        <v>0</v>
      </c>
      <c r="L46" s="488">
        <f t="shared" si="11"/>
        <v>0</v>
      </c>
      <c r="M46" s="482">
        <f t="shared" si="9"/>
        <v>0</v>
      </c>
    </row>
    <row r="47" spans="1:13">
      <c r="F47" s="549"/>
      <c r="G47" s="549" t="str">
        <f>IFERROR(VLOOKUP(F47,ISCO_Prevodnik!$A$10:$B$21,2,0),"")</f>
        <v/>
      </c>
      <c r="H47" s="549"/>
      <c r="I47" s="549" t="str">
        <f>IFERROR(VLOOKUP(H47,ISCO_Prevodnik!$E$10:$F$31,2,0),"")</f>
        <v/>
      </c>
      <c r="J47" s="622"/>
      <c r="K47" s="480">
        <f t="shared" si="10"/>
        <v>0</v>
      </c>
      <c r="L47" s="488">
        <f t="shared" si="11"/>
        <v>0</v>
      </c>
      <c r="M47" s="482">
        <f t="shared" ref="M47:M58" si="12">K47*L47</f>
        <v>0</v>
      </c>
    </row>
    <row r="48" spans="1:13">
      <c r="F48" s="549"/>
      <c r="G48" s="549" t="str">
        <f>IFERROR(VLOOKUP(F48,ISCO_Prevodnik!$A$10:$B$21,2,0),"")</f>
        <v/>
      </c>
      <c r="H48" s="549"/>
      <c r="I48" s="549" t="str">
        <f>IFERROR(VLOOKUP(H48,ISCO_Prevodnik!$E$10:$F$31,2,0),"")</f>
        <v/>
      </c>
      <c r="J48" s="622"/>
      <c r="K48" s="480">
        <f t="shared" si="10"/>
        <v>0</v>
      </c>
      <c r="L48" s="488">
        <f t="shared" si="11"/>
        <v>0</v>
      </c>
      <c r="M48" s="482">
        <f t="shared" si="12"/>
        <v>0</v>
      </c>
    </row>
    <row r="49" spans="1:13">
      <c r="F49" s="549"/>
      <c r="G49" s="549" t="str">
        <f>IFERROR(VLOOKUP(F49,ISCO_Prevodnik!$A$10:$B$21,2,0),"")</f>
        <v/>
      </c>
      <c r="H49" s="549"/>
      <c r="I49" s="549" t="str">
        <f>IFERROR(VLOOKUP(H49,ISCO_Prevodnik!$E$10:$F$31,2,0),"")</f>
        <v/>
      </c>
      <c r="J49" s="622"/>
      <c r="K49" s="480">
        <f t="shared" si="10"/>
        <v>0</v>
      </c>
      <c r="L49" s="488">
        <f t="shared" si="11"/>
        <v>0</v>
      </c>
      <c r="M49" s="482">
        <f t="shared" si="12"/>
        <v>0</v>
      </c>
    </row>
    <row r="50" spans="1:13">
      <c r="F50" s="549"/>
      <c r="G50" s="549" t="str">
        <f>IFERROR(VLOOKUP(F50,ISCO_Prevodnik!$A$10:$B$21,2,0),"")</f>
        <v/>
      </c>
      <c r="H50" s="549"/>
      <c r="I50" s="549" t="str">
        <f>IFERROR(VLOOKUP(H50,ISCO_Prevodnik!$E$10:$F$31,2,0),"")</f>
        <v/>
      </c>
      <c r="J50" s="622"/>
      <c r="K50" s="480">
        <f t="shared" si="10"/>
        <v>0</v>
      </c>
      <c r="L50" s="488">
        <f t="shared" si="11"/>
        <v>0</v>
      </c>
      <c r="M50" s="482">
        <f t="shared" si="12"/>
        <v>0</v>
      </c>
    </row>
    <row r="51" spans="1:13">
      <c r="F51" s="549"/>
      <c r="G51" s="549" t="str">
        <f>IFERROR(VLOOKUP(F51,ISCO_Prevodnik!$A$10:$B$21,2,0),"")</f>
        <v/>
      </c>
      <c r="H51" s="549"/>
      <c r="I51" s="549" t="str">
        <f>IFERROR(VLOOKUP(H51,ISCO_Prevodnik!$E$10:$F$31,2,0),"")</f>
        <v/>
      </c>
      <c r="J51" s="622"/>
      <c r="K51" s="480">
        <f t="shared" si="10"/>
        <v>0</v>
      </c>
      <c r="L51" s="488">
        <f t="shared" si="11"/>
        <v>0</v>
      </c>
      <c r="M51" s="482">
        <f t="shared" si="12"/>
        <v>0</v>
      </c>
    </row>
    <row r="52" spans="1:13">
      <c r="F52" s="549"/>
      <c r="G52" s="549" t="str">
        <f>IFERROR(VLOOKUP(F52,ISCO_Prevodnik!$A$10:$B$21,2,0),"")</f>
        <v/>
      </c>
      <c r="H52" s="549"/>
      <c r="I52" s="549" t="str">
        <f>IFERROR(VLOOKUP(H52,ISCO_Prevodnik!$E$10:$F$31,2,0),"")</f>
        <v/>
      </c>
      <c r="J52" s="622"/>
      <c r="K52" s="480">
        <f t="shared" si="10"/>
        <v>0</v>
      </c>
      <c r="L52" s="488">
        <f t="shared" si="11"/>
        <v>0</v>
      </c>
      <c r="M52" s="482">
        <f t="shared" si="12"/>
        <v>0</v>
      </c>
    </row>
    <row r="53" spans="1:13">
      <c r="A53" s="367" t="s">
        <v>1364</v>
      </c>
      <c r="B53" s="553">
        <v>0</v>
      </c>
      <c r="C53" s="553"/>
      <c r="D53" s="480">
        <f>SUM(K53:K64)</f>
        <v>0</v>
      </c>
      <c r="E53" s="481">
        <f>IFERROR(SUM(M53:M64)/SUM(K53:K64),0)</f>
        <v>0</v>
      </c>
      <c r="F53" s="549"/>
      <c r="G53" s="549" t="str">
        <f>IFERROR(VLOOKUP(F53,ISCO_Prevodnik!$A$10:$B$21,2,0),"")</f>
        <v/>
      </c>
      <c r="H53" s="549"/>
      <c r="I53" s="549" t="str">
        <f>IFERROR(VLOOKUP(H53,ISCO_Prevodnik!$E$10:$F$31,2,0),"")</f>
        <v/>
      </c>
      <c r="J53" s="622"/>
      <c r="K53" s="480">
        <f>J53*$B$41*20</f>
        <v>0</v>
      </c>
      <c r="L53" s="488">
        <f>IFERROR(VLOOKUP(F53,$Q$4:$R$30,2,0),0)</f>
        <v>0</v>
      </c>
      <c r="M53" s="482">
        <f t="shared" si="12"/>
        <v>0</v>
      </c>
    </row>
    <row r="54" spans="1:13">
      <c r="A54" s="364"/>
      <c r="B54" s="364"/>
      <c r="C54" s="364"/>
      <c r="D54" s="364"/>
      <c r="E54" s="364"/>
      <c r="F54" s="549"/>
      <c r="G54" s="549" t="str">
        <f>IFERROR(VLOOKUP(F54,ISCO_Prevodnik!$A$10:$B$21,2,0),"")</f>
        <v/>
      </c>
      <c r="H54" s="549"/>
      <c r="I54" s="549" t="str">
        <f>IFERROR(VLOOKUP(H54,ISCO_Prevodnik!$E$10:$F$31,2,0),"")</f>
        <v/>
      </c>
      <c r="J54" s="622"/>
      <c r="K54" s="480">
        <f t="shared" ref="K54:K64" si="13">J54*$B$41*20</f>
        <v>0</v>
      </c>
      <c r="L54" s="488">
        <f t="shared" ref="L54:L64" si="14">IFERROR(VLOOKUP(F54,$Q$4:$R$30,2,0),0)</f>
        <v>0</v>
      </c>
      <c r="M54" s="482">
        <f t="shared" si="12"/>
        <v>0</v>
      </c>
    </row>
    <row r="55" spans="1:13">
      <c r="A55" s="364"/>
      <c r="B55" s="364"/>
      <c r="C55" s="364"/>
      <c r="D55" s="364"/>
      <c r="E55" s="364"/>
      <c r="F55" s="549"/>
      <c r="G55" s="549" t="str">
        <f>IFERROR(VLOOKUP(F55,ISCO_Prevodnik!$A$10:$B$21,2,0),"")</f>
        <v/>
      </c>
      <c r="H55" s="549"/>
      <c r="I55" s="549" t="str">
        <f>IFERROR(VLOOKUP(H55,ISCO_Prevodnik!$E$10:$F$31,2,0),"")</f>
        <v/>
      </c>
      <c r="J55" s="622"/>
      <c r="K55" s="480">
        <f t="shared" si="13"/>
        <v>0</v>
      </c>
      <c r="L55" s="488">
        <f t="shared" si="14"/>
        <v>0</v>
      </c>
      <c r="M55" s="482">
        <f t="shared" si="12"/>
        <v>0</v>
      </c>
    </row>
    <row r="56" spans="1:13">
      <c r="A56" s="364"/>
      <c r="B56" s="364"/>
      <c r="C56" s="364"/>
      <c r="D56" s="364"/>
      <c r="E56" s="364"/>
      <c r="F56" s="549"/>
      <c r="G56" s="549" t="str">
        <f>IFERROR(VLOOKUP(F56,ISCO_Prevodnik!$A$10:$B$21,2,0),"")</f>
        <v/>
      </c>
      <c r="H56" s="549"/>
      <c r="I56" s="549" t="str">
        <f>IFERROR(VLOOKUP(H56,ISCO_Prevodnik!$E$10:$F$31,2,0),"")</f>
        <v/>
      </c>
      <c r="J56" s="622"/>
      <c r="K56" s="480">
        <f t="shared" si="13"/>
        <v>0</v>
      </c>
      <c r="L56" s="488">
        <f t="shared" si="14"/>
        <v>0</v>
      </c>
      <c r="M56" s="482">
        <f t="shared" si="12"/>
        <v>0</v>
      </c>
    </row>
    <row r="57" spans="1:13">
      <c r="A57" s="364"/>
      <c r="B57" s="364"/>
      <c r="C57" s="364"/>
      <c r="D57" s="364"/>
      <c r="E57" s="364"/>
      <c r="F57" s="549"/>
      <c r="G57" s="549" t="str">
        <f>IFERROR(VLOOKUP(F57,ISCO_Prevodnik!$A$10:$B$21,2,0),"")</f>
        <v/>
      </c>
      <c r="H57" s="549"/>
      <c r="I57" s="549" t="str">
        <f>IFERROR(VLOOKUP(H57,ISCO_Prevodnik!$E$10:$F$31,2,0),"")</f>
        <v/>
      </c>
      <c r="J57" s="622"/>
      <c r="K57" s="480">
        <f t="shared" si="13"/>
        <v>0</v>
      </c>
      <c r="L57" s="488">
        <f t="shared" si="14"/>
        <v>0</v>
      </c>
      <c r="M57" s="482">
        <f t="shared" si="12"/>
        <v>0</v>
      </c>
    </row>
    <row r="58" spans="1:13">
      <c r="A58" s="364"/>
      <c r="B58" s="364"/>
      <c r="C58" s="364"/>
      <c r="D58" s="364"/>
      <c r="E58" s="364"/>
      <c r="F58" s="549"/>
      <c r="G58" s="549" t="str">
        <f>IFERROR(VLOOKUP(F58,ISCO_Prevodnik!$A$10:$B$21,2,0),"")</f>
        <v/>
      </c>
      <c r="H58" s="549"/>
      <c r="I58" s="549" t="str">
        <f>IFERROR(VLOOKUP(H58,ISCO_Prevodnik!$E$10:$F$31,2,0),"")</f>
        <v/>
      </c>
      <c r="J58" s="622"/>
      <c r="K58" s="480">
        <f t="shared" si="13"/>
        <v>0</v>
      </c>
      <c r="L58" s="488">
        <f t="shared" si="14"/>
        <v>0</v>
      </c>
      <c r="M58" s="482">
        <f t="shared" si="12"/>
        <v>0</v>
      </c>
    </row>
    <row r="59" spans="1:13">
      <c r="F59" s="549"/>
      <c r="G59" s="549" t="str">
        <f>IFERROR(VLOOKUP(F59,ISCO_Prevodnik!$A$10:$B$21,2,0),"")</f>
        <v/>
      </c>
      <c r="H59" s="549"/>
      <c r="I59" s="549" t="str">
        <f>IFERROR(VLOOKUP(H59,ISCO_Prevodnik!$E$10:$F$31,2,0),"")</f>
        <v/>
      </c>
      <c r="J59" s="622"/>
      <c r="K59" s="480">
        <f t="shared" si="13"/>
        <v>0</v>
      </c>
      <c r="L59" s="488">
        <f t="shared" si="14"/>
        <v>0</v>
      </c>
      <c r="M59" s="482">
        <f t="shared" ref="M59:M64" si="15">K59*L59</f>
        <v>0</v>
      </c>
    </row>
    <row r="60" spans="1:13">
      <c r="F60" s="549"/>
      <c r="G60" s="549" t="str">
        <f>IFERROR(VLOOKUP(F60,ISCO_Prevodnik!$A$10:$B$21,2,0),"")</f>
        <v/>
      </c>
      <c r="H60" s="549"/>
      <c r="I60" s="549" t="str">
        <f>IFERROR(VLOOKUP(H60,ISCO_Prevodnik!$E$10:$F$31,2,0),"")</f>
        <v/>
      </c>
      <c r="J60" s="622"/>
      <c r="K60" s="480">
        <f t="shared" si="13"/>
        <v>0</v>
      </c>
      <c r="L60" s="488">
        <f t="shared" si="14"/>
        <v>0</v>
      </c>
      <c r="M60" s="482">
        <f t="shared" si="15"/>
        <v>0</v>
      </c>
    </row>
    <row r="61" spans="1:13">
      <c r="F61" s="549"/>
      <c r="G61" s="549" t="str">
        <f>IFERROR(VLOOKUP(F61,ISCO_Prevodnik!$A$10:$B$21,2,0),"")</f>
        <v/>
      </c>
      <c r="H61" s="549"/>
      <c r="I61" s="549" t="str">
        <f>IFERROR(VLOOKUP(H61,ISCO_Prevodnik!$E$10:$F$31,2,0),"")</f>
        <v/>
      </c>
      <c r="J61" s="622"/>
      <c r="K61" s="480">
        <f t="shared" si="13"/>
        <v>0</v>
      </c>
      <c r="L61" s="488">
        <f t="shared" si="14"/>
        <v>0</v>
      </c>
      <c r="M61" s="482">
        <f t="shared" si="15"/>
        <v>0</v>
      </c>
    </row>
    <row r="62" spans="1:13">
      <c r="F62" s="549"/>
      <c r="G62" s="549" t="str">
        <f>IFERROR(VLOOKUP(F62,ISCO_Prevodnik!$A$10:$B$21,2,0),"")</f>
        <v/>
      </c>
      <c r="H62" s="549"/>
      <c r="I62" s="549" t="str">
        <f>IFERROR(VLOOKUP(H62,ISCO_Prevodnik!$E$10:$F$31,2,0),"")</f>
        <v/>
      </c>
      <c r="J62" s="622"/>
      <c r="K62" s="480">
        <f t="shared" si="13"/>
        <v>0</v>
      </c>
      <c r="L62" s="488">
        <f t="shared" si="14"/>
        <v>0</v>
      </c>
      <c r="M62" s="482">
        <f t="shared" si="15"/>
        <v>0</v>
      </c>
    </row>
    <row r="63" spans="1:13">
      <c r="F63" s="549"/>
      <c r="G63" s="549" t="str">
        <f>IFERROR(VLOOKUP(F63,ISCO_Prevodnik!$A$10:$B$21,2,0),"")</f>
        <v/>
      </c>
      <c r="H63" s="549"/>
      <c r="I63" s="549" t="str">
        <f>IFERROR(VLOOKUP(H63,ISCO_Prevodnik!$E$10:$F$31,2,0),"")</f>
        <v/>
      </c>
      <c r="J63" s="622"/>
      <c r="K63" s="480">
        <f t="shared" si="13"/>
        <v>0</v>
      </c>
      <c r="L63" s="488">
        <f t="shared" si="14"/>
        <v>0</v>
      </c>
      <c r="M63" s="482">
        <f t="shared" si="15"/>
        <v>0</v>
      </c>
    </row>
    <row r="64" spans="1:13">
      <c r="F64" s="549"/>
      <c r="G64" s="549" t="str">
        <f>IFERROR(VLOOKUP(F64,ISCO_Prevodnik!$A$10:$B$21,2,0),"")</f>
        <v/>
      </c>
      <c r="H64" s="549"/>
      <c r="I64" s="549" t="str">
        <f>IFERROR(VLOOKUP(H64,ISCO_Prevodnik!$E$10:$F$31,2,0),"")</f>
        <v/>
      </c>
      <c r="J64" s="622"/>
      <c r="K64" s="480">
        <f t="shared" si="13"/>
        <v>0</v>
      </c>
      <c r="L64" s="488">
        <f t="shared" si="14"/>
        <v>0</v>
      </c>
      <c r="M64" s="482">
        <f t="shared" si="15"/>
        <v>0</v>
      </c>
    </row>
  </sheetData>
  <mergeCells count="2">
    <mergeCell ref="F1:J1"/>
    <mergeCell ref="F2:J2"/>
  </mergeCells>
  <phoneticPr fontId="58" type="noConversion"/>
  <conditionalFormatting sqref="B4:C4 B16:C16 B28:C28">
    <cfRule type="expression" dxfId="14" priority="18">
      <formula>SUM($B$4,$B$16,$B$28)&lt;&gt;1</formula>
    </cfRule>
  </conditionalFormatting>
  <conditionalFormatting sqref="J4:J10">
    <cfRule type="expression" dxfId="13" priority="3">
      <formula>SUM($J$4:$J$15)&lt;&gt;1</formula>
    </cfRule>
  </conditionalFormatting>
  <conditionalFormatting sqref="J11:J15">
    <cfRule type="expression" dxfId="12" priority="21">
      <formula>SUM($J$4:$J$15)&lt;&gt;1</formula>
    </cfRule>
  </conditionalFormatting>
  <conditionalFormatting sqref="J16:J27">
    <cfRule type="expression" dxfId="11" priority="2">
      <formula>SUM($J$16:$J$27)&lt;&gt;1</formula>
    </cfRule>
  </conditionalFormatting>
  <conditionalFormatting sqref="J28:J39">
    <cfRule type="expression" dxfId="10" priority="1">
      <formula>SUM($J$28:$J$39)&lt;&gt;1</formula>
    </cfRule>
  </conditionalFormatting>
  <conditionalFormatting sqref="R4:R21">
    <cfRule type="expression" dxfId="9" priority="17">
      <formula>AND(ISNUMBER(S4),R4&gt;S4)</formula>
    </cfRule>
  </conditionalFormatting>
  <conditionalFormatting sqref="R4:R27">
    <cfRule type="expression" dxfId="8" priority="5">
      <formula>AND(ISNUMBER(S4),R4&gt;S4*1.2)</formula>
    </cfRule>
    <cfRule type="cellIs" dxfId="7" priority="42" operator="greaterThan">
      <formula>#REF!</formula>
    </cfRule>
  </conditionalFormatting>
  <conditionalFormatting sqref="W4:W27">
    <cfRule type="containsText" dxfId="6" priority="6" operator="containsText" text="OK">
      <formula>NOT(ISERROR(SEARCH("OK",W4)))</formula>
    </cfRule>
    <cfRule type="containsText" dxfId="5" priority="7"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R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H39 H41:H64"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5"/>
  <sheetViews>
    <sheetView zoomScale="85" zoomScaleNormal="85" workbookViewId="0">
      <pane ySplit="3" topLeftCell="A4" activePane="bottomLeft" state="frozen"/>
      <selection activeCell="J3" sqref="J3:J11"/>
      <selection pane="bottomLeft" activeCell="O10" sqref="O10"/>
    </sheetView>
  </sheetViews>
  <sheetFormatPr defaultColWidth="8.85546875" defaultRowHeight="15"/>
  <cols>
    <col min="1" max="1" width="31.42578125" style="362" customWidth="1"/>
    <col min="2" max="2" width="11.28515625" style="362" customWidth="1"/>
    <col min="3" max="3" width="10.7109375" style="362" customWidth="1"/>
    <col min="4" max="4" width="14.85546875" style="362" customWidth="1"/>
    <col min="5" max="5" width="34.7109375" style="362" bestFit="1" customWidth="1"/>
    <col min="6" max="6" width="12" style="362" customWidth="1"/>
    <col min="7" max="7" width="15.28515625" style="362" bestFit="1" customWidth="1"/>
    <col min="8" max="8" width="10" style="362" customWidth="1"/>
    <col min="9" max="9" width="15.140625" style="362" bestFit="1" customWidth="1"/>
    <col min="10" max="10" width="12.7109375" style="362" customWidth="1"/>
    <col min="11" max="11" width="9.28515625" style="362" bestFit="1" customWidth="1"/>
    <col min="12" max="12" width="8.85546875" style="362"/>
    <col min="13" max="13" width="43.140625" style="362" customWidth="1"/>
    <col min="14" max="14" width="11.28515625" style="362" customWidth="1"/>
    <col min="15" max="15" width="11.85546875" style="362" customWidth="1"/>
    <col min="16" max="16" width="13.42578125" style="362" customWidth="1"/>
    <col min="17" max="17" width="14.140625" style="362" customWidth="1"/>
    <col min="18" max="18" width="13.85546875" style="362" customWidth="1"/>
    <col min="19" max="22" width="13.42578125" style="362" customWidth="1"/>
    <col min="23" max="23" width="20.140625" style="362" customWidth="1"/>
    <col min="24" max="16384" width="8.85546875" style="362"/>
  </cols>
  <sheetData>
    <row r="1" spans="1:23" ht="30">
      <c r="B1" s="501"/>
      <c r="C1" s="501"/>
      <c r="E1" s="799" t="s">
        <v>1365</v>
      </c>
      <c r="F1" s="799"/>
      <c r="G1" s="624">
        <f>IFERROR(I1/EXTERNE_POZICIE!M1/1.2,0)</f>
        <v>0.12675832523870503</v>
      </c>
      <c r="I1" s="440">
        <f>SUM(I4:I40)</f>
        <v>2427701.7599999984</v>
      </c>
      <c r="P1" s="633" t="s">
        <v>1366</v>
      </c>
      <c r="Q1" s="635">
        <v>0.35949999999999999</v>
      </c>
      <c r="R1" s="597"/>
    </row>
    <row r="2" spans="1:23" ht="30">
      <c r="B2" s="501"/>
      <c r="C2" s="501"/>
      <c r="E2" s="800" t="s">
        <v>1367</v>
      </c>
      <c r="F2" s="800"/>
      <c r="G2" s="438">
        <f>SUM(G4:G64)</f>
        <v>10128</v>
      </c>
      <c r="I2" s="440">
        <f>SUM(I4:I64)</f>
        <v>2427701.7599999984</v>
      </c>
      <c r="P2" s="634" t="s">
        <v>1368</v>
      </c>
      <c r="Q2" s="636">
        <v>0</v>
      </c>
      <c r="R2" s="597"/>
    </row>
    <row r="3" spans="1:23" s="477" customFormat="1" ht="60">
      <c r="A3" s="475" t="s">
        <v>1369</v>
      </c>
      <c r="B3" s="476" t="s">
        <v>1370</v>
      </c>
      <c r="C3" s="476" t="s">
        <v>1327</v>
      </c>
      <c r="D3" s="476" t="s">
        <v>1321</v>
      </c>
      <c r="E3" s="476" t="s">
        <v>1322</v>
      </c>
      <c r="F3" s="476" t="s">
        <v>1371</v>
      </c>
      <c r="G3" s="476" t="s">
        <v>1327</v>
      </c>
      <c r="H3" s="476" t="s">
        <v>1372</v>
      </c>
      <c r="I3" s="476" t="s">
        <v>1373</v>
      </c>
      <c r="M3" s="499" t="s">
        <v>1330</v>
      </c>
      <c r="N3" s="499" t="s">
        <v>1374</v>
      </c>
      <c r="O3" s="474" t="s">
        <v>1375</v>
      </c>
      <c r="P3" s="474" t="s">
        <v>1376</v>
      </c>
      <c r="Q3" s="474" t="s">
        <v>1377</v>
      </c>
      <c r="R3" s="474" t="s">
        <v>1378</v>
      </c>
      <c r="S3" s="498" t="s">
        <v>1379</v>
      </c>
      <c r="T3" s="474" t="s">
        <v>1380</v>
      </c>
      <c r="U3" s="498" t="s">
        <v>1381</v>
      </c>
      <c r="V3" s="498" t="s">
        <v>1335</v>
      </c>
      <c r="W3" s="474" t="s">
        <v>1337</v>
      </c>
    </row>
    <row r="4" spans="1:23">
      <c r="A4" s="367" t="s">
        <v>1338</v>
      </c>
      <c r="B4" s="553">
        <v>12</v>
      </c>
      <c r="C4" s="480">
        <f>SUM(G4:G15)</f>
        <v>4080</v>
      </c>
      <c r="D4" s="481">
        <f>IFERROR(SUM(I4:I15)/C4,0)</f>
        <v>271.92</v>
      </c>
      <c r="E4" s="549" t="s">
        <v>1382</v>
      </c>
      <c r="F4" s="550">
        <v>1</v>
      </c>
      <c r="G4" s="480">
        <f>IFERROR(VLOOKUP(E4,$M$4:$O$27,3,0)*F4*$B$4*20,)</f>
        <v>240</v>
      </c>
      <c r="H4" s="488">
        <f>IFERROR(VLOOKUP(E4,$M$4:$R$27,6,0),0)*8</f>
        <v>271.92</v>
      </c>
      <c r="I4" s="482">
        <f>G4*H4</f>
        <v>65260.800000000003</v>
      </c>
      <c r="J4" s="505"/>
      <c r="M4" s="429" t="s">
        <v>1382</v>
      </c>
      <c r="N4" s="429" t="s">
        <v>1383</v>
      </c>
      <c r="O4" s="554">
        <v>1</v>
      </c>
      <c r="P4" s="595">
        <v>25</v>
      </c>
      <c r="Q4" s="598">
        <f>P4*(1+$Q$2)*$Q$1</f>
        <v>8.9874999999999989</v>
      </c>
      <c r="R4" s="598">
        <f>ROUND(P4+Q4+$Q$2*P4,2)</f>
        <v>33.99</v>
      </c>
      <c r="S4" s="429">
        <f t="shared" ref="S4:S27" si="0">SUMIF($E$4:$E$64,M4,$G$4:$G$64)*8</f>
        <v>4160</v>
      </c>
      <c r="T4" s="504">
        <f t="shared" ref="T4:T27" si="1">SUMIF($E$4:$E$64,M4,$I$4:$I$64)</f>
        <v>141398.39999999999</v>
      </c>
      <c r="U4" s="500">
        <f>IF(N4="hlavná",25,15)</f>
        <v>25</v>
      </c>
      <c r="V4" s="430">
        <f>IFERROR(S4/SUM($S$4:$S$27),)</f>
        <v>5.1342812006319113E-2</v>
      </c>
      <c r="W4" s="431"/>
    </row>
    <row r="5" spans="1:23">
      <c r="A5" s="364"/>
      <c r="B5" s="364"/>
      <c r="C5" s="364"/>
      <c r="D5" s="364"/>
      <c r="E5" s="549" t="s">
        <v>1384</v>
      </c>
      <c r="F5" s="550">
        <v>1</v>
      </c>
      <c r="G5" s="480">
        <f t="shared" ref="G5:G15" si="2">IFERROR(VLOOKUP(E5,$M$4:$O$27,3,0)*F5*$B$4*20,)</f>
        <v>240</v>
      </c>
      <c r="H5" s="488">
        <f t="shared" ref="H5:H63" si="3">IFERROR(VLOOKUP(E5,$M$4:$R$27,6,0),0)*8</f>
        <v>271.92</v>
      </c>
      <c r="I5" s="482">
        <f>G5*H5</f>
        <v>65260.800000000003</v>
      </c>
      <c r="J5" s="505"/>
      <c r="K5" s="505"/>
      <c r="M5" s="429" t="s">
        <v>1385</v>
      </c>
      <c r="N5" s="429" t="s">
        <v>1383</v>
      </c>
      <c r="O5" s="554">
        <v>6</v>
      </c>
      <c r="P5" s="596">
        <v>25</v>
      </c>
      <c r="Q5" s="598">
        <f t="shared" ref="Q5:Q27" si="4">P5*(1+$Q$2)*$Q$1</f>
        <v>8.9874999999999989</v>
      </c>
      <c r="R5" s="598">
        <f t="shared" ref="R5:R27" si="5">ROUND(P5+Q5+$Q$2*P5,2)</f>
        <v>33.99</v>
      </c>
      <c r="S5" s="429">
        <f t="shared" si="0"/>
        <v>24960</v>
      </c>
      <c r="T5" s="504">
        <f t="shared" si="1"/>
        <v>848390.40000000014</v>
      </c>
      <c r="U5" s="500">
        <f t="shared" ref="U5:U25" si="6">IF(N5="hlavná",25,15)</f>
        <v>25</v>
      </c>
      <c r="V5" s="430">
        <f t="shared" ref="V5:V27" si="7">IFERROR(S5/SUM($S$4:$S$27),)</f>
        <v>0.30805687203791471</v>
      </c>
      <c r="W5" s="431"/>
    </row>
    <row r="6" spans="1:23">
      <c r="A6" s="364"/>
      <c r="B6" s="364"/>
      <c r="C6" s="364"/>
      <c r="D6" s="364"/>
      <c r="E6" s="549" t="s">
        <v>1386</v>
      </c>
      <c r="F6" s="550">
        <v>1</v>
      </c>
      <c r="G6" s="480">
        <f t="shared" si="2"/>
        <v>480</v>
      </c>
      <c r="H6" s="488">
        <f t="shared" si="3"/>
        <v>271.92</v>
      </c>
      <c r="I6" s="482">
        <f t="shared" ref="I6:I34" si="8">G6*H6</f>
        <v>130521.60000000001</v>
      </c>
      <c r="M6" s="429" t="s">
        <v>1387</v>
      </c>
      <c r="N6" s="429" t="s">
        <v>1383</v>
      </c>
      <c r="O6" s="554">
        <v>2</v>
      </c>
      <c r="P6" s="596">
        <v>25</v>
      </c>
      <c r="Q6" s="598">
        <f t="shared" si="4"/>
        <v>8.9874999999999989</v>
      </c>
      <c r="R6" s="598">
        <f t="shared" si="5"/>
        <v>33.99</v>
      </c>
      <c r="S6" s="429">
        <f t="shared" si="0"/>
        <v>7424</v>
      </c>
      <c r="T6" s="504">
        <f t="shared" si="1"/>
        <v>252341.76000000004</v>
      </c>
      <c r="U6" s="500">
        <f t="shared" si="6"/>
        <v>25</v>
      </c>
      <c r="V6" s="430">
        <f t="shared" si="7"/>
        <v>9.1627172195892573E-2</v>
      </c>
      <c r="W6" s="431"/>
    </row>
    <row r="7" spans="1:23">
      <c r="A7" s="364"/>
      <c r="B7" s="364"/>
      <c r="C7" s="364"/>
      <c r="D7" s="364"/>
      <c r="E7" s="549" t="s">
        <v>1388</v>
      </c>
      <c r="F7" s="550">
        <v>1</v>
      </c>
      <c r="G7" s="480">
        <f t="shared" si="2"/>
        <v>480</v>
      </c>
      <c r="H7" s="488">
        <f t="shared" si="3"/>
        <v>271.92</v>
      </c>
      <c r="I7" s="482">
        <f t="shared" si="8"/>
        <v>130521.60000000001</v>
      </c>
      <c r="M7" s="429" t="s">
        <v>1384</v>
      </c>
      <c r="N7" s="429" t="s">
        <v>1383</v>
      </c>
      <c r="O7" s="554">
        <v>1</v>
      </c>
      <c r="P7" s="596">
        <v>25</v>
      </c>
      <c r="Q7" s="598">
        <f t="shared" si="4"/>
        <v>8.9874999999999989</v>
      </c>
      <c r="R7" s="598">
        <f t="shared" si="5"/>
        <v>33.99</v>
      </c>
      <c r="S7" s="429">
        <f t="shared" si="0"/>
        <v>4160</v>
      </c>
      <c r="T7" s="504">
        <f t="shared" si="1"/>
        <v>141398.39999999999</v>
      </c>
      <c r="U7" s="500">
        <f t="shared" si="6"/>
        <v>25</v>
      </c>
      <c r="V7" s="430">
        <f t="shared" si="7"/>
        <v>5.1342812006319113E-2</v>
      </c>
      <c r="W7" s="431"/>
    </row>
    <row r="8" spans="1:23">
      <c r="A8" s="364"/>
      <c r="B8" s="364"/>
      <c r="C8" s="364"/>
      <c r="D8" s="364"/>
      <c r="E8" s="549" t="s">
        <v>1389</v>
      </c>
      <c r="F8" s="550">
        <v>0.5</v>
      </c>
      <c r="G8" s="480">
        <f t="shared" si="2"/>
        <v>120</v>
      </c>
      <c r="H8" s="488">
        <f t="shared" si="3"/>
        <v>271.92</v>
      </c>
      <c r="I8" s="482">
        <f t="shared" si="8"/>
        <v>32630.400000000001</v>
      </c>
      <c r="M8" s="429" t="s">
        <v>1386</v>
      </c>
      <c r="N8" s="429" t="s">
        <v>1383</v>
      </c>
      <c r="O8" s="554">
        <v>2</v>
      </c>
      <c r="P8" s="596">
        <v>25</v>
      </c>
      <c r="Q8" s="598">
        <f t="shared" si="4"/>
        <v>8.9874999999999989</v>
      </c>
      <c r="R8" s="598">
        <f t="shared" si="5"/>
        <v>33.99</v>
      </c>
      <c r="S8" s="429">
        <f t="shared" si="0"/>
        <v>7680</v>
      </c>
      <c r="T8" s="504">
        <f t="shared" si="1"/>
        <v>261043.20000000001</v>
      </c>
      <c r="U8" s="500">
        <f t="shared" si="6"/>
        <v>25</v>
      </c>
      <c r="V8" s="430">
        <f t="shared" si="7"/>
        <v>9.4786729857819899E-2</v>
      </c>
      <c r="W8" s="431"/>
    </row>
    <row r="9" spans="1:23">
      <c r="A9" s="364"/>
      <c r="B9" s="364"/>
      <c r="C9" s="364"/>
      <c r="D9" s="364"/>
      <c r="E9" s="549" t="s">
        <v>1390</v>
      </c>
      <c r="F9" s="550">
        <v>0.5</v>
      </c>
      <c r="G9" s="480">
        <f t="shared" si="2"/>
        <v>120</v>
      </c>
      <c r="H9" s="488">
        <f t="shared" si="3"/>
        <v>271.92</v>
      </c>
      <c r="I9" s="482">
        <f t="shared" ref="I9:I15" si="9">G9*H9</f>
        <v>32630.400000000001</v>
      </c>
      <c r="M9" s="429" t="s">
        <v>1391</v>
      </c>
      <c r="N9" s="429" t="s">
        <v>1383</v>
      </c>
      <c r="O9" s="554"/>
      <c r="P9" s="596"/>
      <c r="Q9" s="598">
        <f t="shared" si="4"/>
        <v>0</v>
      </c>
      <c r="R9" s="598">
        <f t="shared" si="5"/>
        <v>0</v>
      </c>
      <c r="S9" s="429">
        <f t="shared" si="0"/>
        <v>0</v>
      </c>
      <c r="T9" s="504">
        <f t="shared" si="1"/>
        <v>0</v>
      </c>
      <c r="U9" s="500">
        <f t="shared" si="6"/>
        <v>25</v>
      </c>
      <c r="V9" s="430">
        <f t="shared" si="7"/>
        <v>0</v>
      </c>
      <c r="W9" s="431"/>
    </row>
    <row r="10" spans="1:23">
      <c r="A10" s="364"/>
      <c r="B10" s="364"/>
      <c r="C10" s="364"/>
      <c r="D10" s="364"/>
      <c r="E10" s="549" t="s">
        <v>1392</v>
      </c>
      <c r="F10" s="550">
        <v>1</v>
      </c>
      <c r="G10" s="480">
        <f t="shared" si="2"/>
        <v>240</v>
      </c>
      <c r="H10" s="488">
        <f t="shared" si="3"/>
        <v>271.92</v>
      </c>
      <c r="I10" s="482">
        <f t="shared" si="9"/>
        <v>65260.800000000003</v>
      </c>
      <c r="M10" s="429" t="s">
        <v>1388</v>
      </c>
      <c r="N10" s="429" t="s">
        <v>1383</v>
      </c>
      <c r="O10" s="554">
        <v>2</v>
      </c>
      <c r="P10" s="596">
        <v>25</v>
      </c>
      <c r="Q10" s="598">
        <f t="shared" si="4"/>
        <v>8.9874999999999989</v>
      </c>
      <c r="R10" s="598">
        <f t="shared" si="5"/>
        <v>33.99</v>
      </c>
      <c r="S10" s="429">
        <f t="shared" si="0"/>
        <v>8320</v>
      </c>
      <c r="T10" s="504">
        <f t="shared" si="1"/>
        <v>282796.79999999999</v>
      </c>
      <c r="U10" s="500">
        <f t="shared" si="6"/>
        <v>25</v>
      </c>
      <c r="V10" s="430">
        <f t="shared" si="7"/>
        <v>0.10268562401263823</v>
      </c>
      <c r="W10" s="431"/>
    </row>
    <row r="11" spans="1:23">
      <c r="A11" s="364"/>
      <c r="B11" s="364"/>
      <c r="C11" s="364"/>
      <c r="D11" s="364"/>
      <c r="E11" s="549" t="s">
        <v>1393</v>
      </c>
      <c r="F11" s="550">
        <v>0.5</v>
      </c>
      <c r="G11" s="480">
        <f t="shared" si="2"/>
        <v>120</v>
      </c>
      <c r="H11" s="488">
        <f t="shared" si="3"/>
        <v>271.92</v>
      </c>
      <c r="I11" s="482">
        <f t="shared" si="9"/>
        <v>32630.400000000001</v>
      </c>
      <c r="M11" s="429" t="s">
        <v>1354</v>
      </c>
      <c r="N11" s="429" t="s">
        <v>1383</v>
      </c>
      <c r="O11" s="554">
        <v>1</v>
      </c>
      <c r="P11" s="596">
        <v>25</v>
      </c>
      <c r="Q11" s="598">
        <f t="shared" si="4"/>
        <v>8.9874999999999989</v>
      </c>
      <c r="R11" s="598">
        <f t="shared" si="5"/>
        <v>33.99</v>
      </c>
      <c r="S11" s="429">
        <f t="shared" si="0"/>
        <v>4800</v>
      </c>
      <c r="T11" s="504">
        <f t="shared" si="1"/>
        <v>163152</v>
      </c>
      <c r="U11" s="500">
        <f t="shared" si="6"/>
        <v>25</v>
      </c>
      <c r="V11" s="430">
        <f t="shared" si="7"/>
        <v>5.9241706161137442E-2</v>
      </c>
      <c r="W11" s="431"/>
    </row>
    <row r="12" spans="1:23">
      <c r="A12" s="364"/>
      <c r="B12" s="364"/>
      <c r="C12" s="364"/>
      <c r="D12" s="364"/>
      <c r="E12" s="549" t="s">
        <v>1394</v>
      </c>
      <c r="F12" s="550">
        <v>0.5</v>
      </c>
      <c r="G12" s="480">
        <f t="shared" si="2"/>
        <v>120</v>
      </c>
      <c r="H12" s="488">
        <f t="shared" si="3"/>
        <v>271.92</v>
      </c>
      <c r="I12" s="482">
        <f t="shared" si="9"/>
        <v>32630.400000000001</v>
      </c>
      <c r="M12" s="429" t="s">
        <v>1395</v>
      </c>
      <c r="N12" s="429" t="s">
        <v>1383</v>
      </c>
      <c r="O12" s="554">
        <v>0.5</v>
      </c>
      <c r="P12" s="596">
        <v>25</v>
      </c>
      <c r="Q12" s="598">
        <f t="shared" si="4"/>
        <v>8.9874999999999989</v>
      </c>
      <c r="R12" s="598">
        <f t="shared" si="5"/>
        <v>33.99</v>
      </c>
      <c r="S12" s="429">
        <f t="shared" si="0"/>
        <v>1120</v>
      </c>
      <c r="T12" s="504">
        <f t="shared" si="1"/>
        <v>38068.800000000003</v>
      </c>
      <c r="U12" s="500">
        <f t="shared" si="6"/>
        <v>25</v>
      </c>
      <c r="V12" s="430">
        <f t="shared" si="7"/>
        <v>1.3823064770932069E-2</v>
      </c>
      <c r="W12" s="431"/>
    </row>
    <row r="13" spans="1:23">
      <c r="A13" s="364"/>
      <c r="B13" s="364"/>
      <c r="C13" s="364"/>
      <c r="D13" s="364"/>
      <c r="E13" s="549" t="s">
        <v>1385</v>
      </c>
      <c r="F13" s="550">
        <v>1</v>
      </c>
      <c r="G13" s="480">
        <f t="shared" si="2"/>
        <v>1440</v>
      </c>
      <c r="H13" s="488">
        <f t="shared" si="3"/>
        <v>271.92</v>
      </c>
      <c r="I13" s="482">
        <f t="shared" si="9"/>
        <v>391564.80000000005</v>
      </c>
      <c r="M13" s="429" t="s">
        <v>1389</v>
      </c>
      <c r="N13" s="429" t="s">
        <v>1383</v>
      </c>
      <c r="O13" s="554">
        <v>1</v>
      </c>
      <c r="P13" s="596">
        <v>25</v>
      </c>
      <c r="Q13" s="598">
        <f t="shared" si="4"/>
        <v>8.9874999999999989</v>
      </c>
      <c r="R13" s="598">
        <f t="shared" si="5"/>
        <v>33.99</v>
      </c>
      <c r="S13" s="429">
        <f t="shared" si="0"/>
        <v>2240</v>
      </c>
      <c r="T13" s="504">
        <f t="shared" si="1"/>
        <v>76137.600000000006</v>
      </c>
      <c r="U13" s="500">
        <f t="shared" si="6"/>
        <v>25</v>
      </c>
      <c r="V13" s="430">
        <f t="shared" si="7"/>
        <v>2.7646129541864139E-2</v>
      </c>
      <c r="W13" s="431"/>
    </row>
    <row r="14" spans="1:23">
      <c r="A14" s="364"/>
      <c r="B14" s="364"/>
      <c r="C14" s="364"/>
      <c r="D14" s="364"/>
      <c r="E14" s="549" t="s">
        <v>1387</v>
      </c>
      <c r="F14" s="550">
        <v>1</v>
      </c>
      <c r="G14" s="480">
        <f t="shared" si="2"/>
        <v>480</v>
      </c>
      <c r="H14" s="488">
        <f t="shared" si="3"/>
        <v>271.92</v>
      </c>
      <c r="I14" s="482">
        <f t="shared" si="9"/>
        <v>130521.60000000001</v>
      </c>
      <c r="M14" s="429" t="s">
        <v>1396</v>
      </c>
      <c r="N14" s="429" t="s">
        <v>1383</v>
      </c>
      <c r="O14" s="554">
        <v>1</v>
      </c>
      <c r="P14" s="596">
        <v>25</v>
      </c>
      <c r="Q14" s="598">
        <f t="shared" si="4"/>
        <v>8.9874999999999989</v>
      </c>
      <c r="R14" s="598">
        <f t="shared" si="5"/>
        <v>33.99</v>
      </c>
      <c r="S14" s="429">
        <f t="shared" si="0"/>
        <v>4800</v>
      </c>
      <c r="T14" s="504">
        <f t="shared" si="1"/>
        <v>163152</v>
      </c>
      <c r="U14" s="500">
        <f t="shared" si="6"/>
        <v>25</v>
      </c>
      <c r="V14" s="430">
        <f t="shared" si="7"/>
        <v>5.9241706161137442E-2</v>
      </c>
      <c r="W14" s="431"/>
    </row>
    <row r="15" spans="1:23">
      <c r="A15" s="364"/>
      <c r="B15" s="364"/>
      <c r="C15" s="364"/>
      <c r="D15" s="364"/>
      <c r="E15" s="549"/>
      <c r="F15" s="550"/>
      <c r="G15" s="480">
        <f t="shared" si="2"/>
        <v>0</v>
      </c>
      <c r="H15" s="488">
        <f t="shared" si="3"/>
        <v>0</v>
      </c>
      <c r="I15" s="482">
        <f t="shared" si="9"/>
        <v>0</v>
      </c>
      <c r="M15" s="429" t="s">
        <v>1397</v>
      </c>
      <c r="N15" s="429" t="s">
        <v>1383</v>
      </c>
      <c r="O15" s="554"/>
      <c r="P15" s="596"/>
      <c r="Q15" s="598">
        <f t="shared" si="4"/>
        <v>0</v>
      </c>
      <c r="R15" s="598">
        <f t="shared" si="5"/>
        <v>0</v>
      </c>
      <c r="S15" s="429">
        <f t="shared" si="0"/>
        <v>0</v>
      </c>
      <c r="T15" s="504">
        <f t="shared" si="1"/>
        <v>0</v>
      </c>
      <c r="U15" s="500">
        <f t="shared" si="6"/>
        <v>25</v>
      </c>
      <c r="V15" s="430">
        <f t="shared" si="7"/>
        <v>0</v>
      </c>
      <c r="W15" s="431"/>
    </row>
    <row r="16" spans="1:23">
      <c r="A16" s="367" t="s">
        <v>1351</v>
      </c>
      <c r="B16" s="553">
        <v>12</v>
      </c>
      <c r="C16" s="480">
        <f>SUM(G16:G28)</f>
        <v>4224</v>
      </c>
      <c r="D16" s="481">
        <f>IFERROR(SUM(I16:I28)/C16,0)</f>
        <v>271.92</v>
      </c>
      <c r="E16" s="549" t="s">
        <v>1382</v>
      </c>
      <c r="F16" s="550">
        <v>1</v>
      </c>
      <c r="G16" s="480">
        <f>IFERROR(VLOOKUP(E16,$M$4:$O$27,3,0)*F16*$B$16*20,)</f>
        <v>240</v>
      </c>
      <c r="H16" s="488">
        <f t="shared" si="3"/>
        <v>271.92</v>
      </c>
      <c r="I16" s="482">
        <f t="shared" si="8"/>
        <v>65260.800000000003</v>
      </c>
      <c r="M16" s="429" t="s">
        <v>1353</v>
      </c>
      <c r="N16" s="429" t="s">
        <v>1398</v>
      </c>
      <c r="O16" s="554"/>
      <c r="P16" s="596"/>
      <c r="Q16" s="598">
        <f t="shared" si="4"/>
        <v>0</v>
      </c>
      <c r="R16" s="598">
        <f t="shared" si="5"/>
        <v>0</v>
      </c>
      <c r="S16" s="429">
        <f t="shared" si="0"/>
        <v>0</v>
      </c>
      <c r="T16" s="504">
        <f t="shared" si="1"/>
        <v>0</v>
      </c>
      <c r="U16" s="500">
        <f t="shared" si="6"/>
        <v>15</v>
      </c>
      <c r="V16" s="430">
        <f t="shared" si="7"/>
        <v>0</v>
      </c>
      <c r="W16" s="431"/>
    </row>
    <row r="17" spans="1:23">
      <c r="A17" s="364"/>
      <c r="B17" s="364"/>
      <c r="C17" s="364"/>
      <c r="D17" s="364"/>
      <c r="E17" s="549" t="s">
        <v>1384</v>
      </c>
      <c r="F17" s="550">
        <v>1</v>
      </c>
      <c r="G17" s="480">
        <f t="shared" ref="G17:G28" si="10">IFERROR(VLOOKUP(E17,$M$4:$O$27,3,0)*F17*$B$16*20,)</f>
        <v>240</v>
      </c>
      <c r="H17" s="488">
        <f t="shared" si="3"/>
        <v>271.92</v>
      </c>
      <c r="I17" s="482">
        <f t="shared" si="8"/>
        <v>65260.800000000003</v>
      </c>
      <c r="M17" s="429" t="s">
        <v>1399</v>
      </c>
      <c r="N17" s="429" t="s">
        <v>1398</v>
      </c>
      <c r="O17" s="554"/>
      <c r="P17" s="596"/>
      <c r="Q17" s="598">
        <f t="shared" si="4"/>
        <v>0</v>
      </c>
      <c r="R17" s="598">
        <f t="shared" si="5"/>
        <v>0</v>
      </c>
      <c r="S17" s="429">
        <f t="shared" si="0"/>
        <v>0</v>
      </c>
      <c r="T17" s="504">
        <f t="shared" si="1"/>
        <v>0</v>
      </c>
      <c r="U17" s="500">
        <f t="shared" si="6"/>
        <v>15</v>
      </c>
      <c r="V17" s="430">
        <f t="shared" si="7"/>
        <v>0</v>
      </c>
      <c r="W17" s="431"/>
    </row>
    <row r="18" spans="1:23">
      <c r="A18" s="364"/>
      <c r="B18" s="364"/>
      <c r="C18" s="364"/>
      <c r="D18" s="364"/>
      <c r="E18" s="549" t="s">
        <v>1386</v>
      </c>
      <c r="F18" s="550">
        <v>1</v>
      </c>
      <c r="G18" s="480">
        <f t="shared" si="10"/>
        <v>480</v>
      </c>
      <c r="H18" s="488">
        <f t="shared" si="3"/>
        <v>271.92</v>
      </c>
      <c r="I18" s="482">
        <f t="shared" si="8"/>
        <v>130521.60000000001</v>
      </c>
      <c r="M18" s="429" t="s">
        <v>1400</v>
      </c>
      <c r="N18" s="429" t="s">
        <v>1383</v>
      </c>
      <c r="O18" s="554"/>
      <c r="P18" s="596"/>
      <c r="Q18" s="598">
        <f t="shared" si="4"/>
        <v>0</v>
      </c>
      <c r="R18" s="598">
        <f t="shared" si="5"/>
        <v>0</v>
      </c>
      <c r="S18" s="429">
        <f t="shared" si="0"/>
        <v>0</v>
      </c>
      <c r="T18" s="504">
        <f t="shared" si="1"/>
        <v>0</v>
      </c>
      <c r="U18" s="500">
        <f t="shared" si="6"/>
        <v>25</v>
      </c>
      <c r="V18" s="430">
        <f t="shared" si="7"/>
        <v>0</v>
      </c>
      <c r="W18" s="431"/>
    </row>
    <row r="19" spans="1:23">
      <c r="A19" s="364"/>
      <c r="B19" s="364"/>
      <c r="C19" s="364"/>
      <c r="D19" s="364"/>
      <c r="E19" s="549" t="s">
        <v>1388</v>
      </c>
      <c r="F19" s="550">
        <v>1</v>
      </c>
      <c r="G19" s="480">
        <f t="shared" si="10"/>
        <v>480</v>
      </c>
      <c r="H19" s="488">
        <f t="shared" si="3"/>
        <v>271.92</v>
      </c>
      <c r="I19" s="482">
        <f t="shared" si="8"/>
        <v>130521.60000000001</v>
      </c>
      <c r="M19" s="429" t="s">
        <v>1390</v>
      </c>
      <c r="N19" s="429" t="s">
        <v>1383</v>
      </c>
      <c r="O19" s="554">
        <v>1</v>
      </c>
      <c r="P19" s="596">
        <v>25</v>
      </c>
      <c r="Q19" s="598">
        <f t="shared" si="4"/>
        <v>8.9874999999999989</v>
      </c>
      <c r="R19" s="598">
        <f t="shared" si="5"/>
        <v>33.99</v>
      </c>
      <c r="S19" s="429">
        <f t="shared" si="0"/>
        <v>2080</v>
      </c>
      <c r="T19" s="504">
        <f t="shared" si="1"/>
        <v>70699.199999999997</v>
      </c>
      <c r="U19" s="500">
        <f t="shared" si="6"/>
        <v>25</v>
      </c>
      <c r="V19" s="430">
        <f t="shared" si="7"/>
        <v>2.5671406003159557E-2</v>
      </c>
      <c r="W19" s="431"/>
    </row>
    <row r="20" spans="1:23">
      <c r="A20" s="364"/>
      <c r="B20" s="364"/>
      <c r="C20" s="364"/>
      <c r="D20" s="364"/>
      <c r="E20" s="549" t="s">
        <v>1389</v>
      </c>
      <c r="F20" s="550">
        <v>0.5</v>
      </c>
      <c r="G20" s="480">
        <f t="shared" si="10"/>
        <v>120</v>
      </c>
      <c r="H20" s="488">
        <f t="shared" si="3"/>
        <v>271.92</v>
      </c>
      <c r="I20" s="482">
        <f t="shared" si="8"/>
        <v>32630.400000000001</v>
      </c>
      <c r="M20" s="429" t="s">
        <v>1401</v>
      </c>
      <c r="N20" s="429" t="s">
        <v>1398</v>
      </c>
      <c r="O20" s="554"/>
      <c r="P20" s="596"/>
      <c r="Q20" s="598">
        <f t="shared" si="4"/>
        <v>0</v>
      </c>
      <c r="R20" s="598">
        <f t="shared" si="5"/>
        <v>0</v>
      </c>
      <c r="S20" s="429">
        <f t="shared" si="0"/>
        <v>0</v>
      </c>
      <c r="T20" s="504">
        <f t="shared" si="1"/>
        <v>0</v>
      </c>
      <c r="U20" s="500">
        <f t="shared" si="6"/>
        <v>15</v>
      </c>
      <c r="V20" s="430">
        <f t="shared" si="7"/>
        <v>0</v>
      </c>
      <c r="W20" s="431"/>
    </row>
    <row r="21" spans="1:23">
      <c r="A21" s="364"/>
      <c r="B21" s="364"/>
      <c r="C21" s="364"/>
      <c r="D21" s="364"/>
      <c r="E21" s="549" t="s">
        <v>1390</v>
      </c>
      <c r="F21" s="550">
        <v>0.5</v>
      </c>
      <c r="G21" s="480">
        <f t="shared" si="10"/>
        <v>120</v>
      </c>
      <c r="H21" s="488">
        <f t="shared" si="3"/>
        <v>271.92</v>
      </c>
      <c r="I21" s="482">
        <f t="shared" si="8"/>
        <v>32630.400000000001</v>
      </c>
      <c r="M21" s="555" t="s">
        <v>1402</v>
      </c>
      <c r="N21" s="555" t="s">
        <v>1398</v>
      </c>
      <c r="O21" s="554"/>
      <c r="P21" s="596"/>
      <c r="Q21" s="598">
        <f t="shared" si="4"/>
        <v>0</v>
      </c>
      <c r="R21" s="598">
        <f t="shared" si="5"/>
        <v>0</v>
      </c>
      <c r="S21" s="429">
        <f t="shared" si="0"/>
        <v>0</v>
      </c>
      <c r="T21" s="504">
        <f t="shared" si="1"/>
        <v>0</v>
      </c>
      <c r="U21" s="500">
        <f t="shared" si="6"/>
        <v>15</v>
      </c>
      <c r="V21" s="430">
        <f t="shared" si="7"/>
        <v>0</v>
      </c>
      <c r="W21" s="431"/>
    </row>
    <row r="22" spans="1:23">
      <c r="A22" s="364"/>
      <c r="B22" s="600"/>
      <c r="C22" s="600"/>
      <c r="D22" s="601"/>
      <c r="E22" s="549" t="s">
        <v>1392</v>
      </c>
      <c r="F22" s="550">
        <v>1</v>
      </c>
      <c r="G22" s="480">
        <f t="shared" si="10"/>
        <v>240</v>
      </c>
      <c r="H22" s="488">
        <f t="shared" si="3"/>
        <v>271.92</v>
      </c>
      <c r="I22" s="482">
        <f t="shared" si="8"/>
        <v>65260.800000000003</v>
      </c>
      <c r="M22" s="555" t="s">
        <v>1392</v>
      </c>
      <c r="N22" s="555" t="s">
        <v>1383</v>
      </c>
      <c r="O22" s="554">
        <v>1</v>
      </c>
      <c r="P22" s="596">
        <v>25</v>
      </c>
      <c r="Q22" s="598">
        <f t="shared" si="4"/>
        <v>8.9874999999999989</v>
      </c>
      <c r="R22" s="598">
        <f t="shared" si="5"/>
        <v>33.99</v>
      </c>
      <c r="S22" s="429">
        <f t="shared" si="0"/>
        <v>3840</v>
      </c>
      <c r="T22" s="504">
        <f t="shared" si="1"/>
        <v>130521.60000000001</v>
      </c>
      <c r="U22" s="500">
        <f t="shared" si="6"/>
        <v>25</v>
      </c>
      <c r="V22" s="430">
        <f t="shared" si="7"/>
        <v>4.7393364928909949E-2</v>
      </c>
      <c r="W22" s="431"/>
    </row>
    <row r="23" spans="1:23">
      <c r="A23" s="364"/>
      <c r="B23" s="364"/>
      <c r="C23" s="364"/>
      <c r="D23" s="364"/>
      <c r="E23" s="549" t="s">
        <v>1393</v>
      </c>
      <c r="F23" s="550">
        <v>0.5</v>
      </c>
      <c r="G23" s="480">
        <f t="shared" si="10"/>
        <v>120</v>
      </c>
      <c r="H23" s="488">
        <f t="shared" si="3"/>
        <v>271.92</v>
      </c>
      <c r="I23" s="482">
        <f t="shared" si="8"/>
        <v>32630.400000000001</v>
      </c>
      <c r="M23" s="555" t="s">
        <v>1403</v>
      </c>
      <c r="N23" s="555" t="s">
        <v>1383</v>
      </c>
      <c r="O23" s="554">
        <v>1</v>
      </c>
      <c r="P23" s="596">
        <v>25</v>
      </c>
      <c r="Q23" s="598">
        <f t="shared" si="4"/>
        <v>8.9874999999999989</v>
      </c>
      <c r="R23" s="598">
        <f t="shared" si="5"/>
        <v>33.99</v>
      </c>
      <c r="S23" s="429">
        <f t="shared" si="0"/>
        <v>1280</v>
      </c>
      <c r="T23" s="504">
        <f t="shared" si="1"/>
        <v>43507.200000000004</v>
      </c>
      <c r="U23" s="500">
        <f t="shared" si="6"/>
        <v>25</v>
      </c>
      <c r="V23" s="430">
        <f t="shared" si="7"/>
        <v>1.579778830963665E-2</v>
      </c>
      <c r="W23" s="431"/>
    </row>
    <row r="24" spans="1:23">
      <c r="A24" s="364"/>
      <c r="B24" s="364"/>
      <c r="C24" s="364"/>
      <c r="D24" s="364"/>
      <c r="E24" s="549" t="s">
        <v>1394</v>
      </c>
      <c r="F24" s="550">
        <v>0.5</v>
      </c>
      <c r="G24" s="480">
        <f t="shared" si="10"/>
        <v>120</v>
      </c>
      <c r="H24" s="488">
        <f t="shared" si="3"/>
        <v>271.92</v>
      </c>
      <c r="I24" s="482">
        <f t="shared" si="8"/>
        <v>32630.400000000001</v>
      </c>
      <c r="M24" s="555" t="s">
        <v>1393</v>
      </c>
      <c r="N24" s="555" t="s">
        <v>1383</v>
      </c>
      <c r="O24" s="554">
        <v>1</v>
      </c>
      <c r="P24" s="596">
        <v>25</v>
      </c>
      <c r="Q24" s="598">
        <f t="shared" si="4"/>
        <v>8.9874999999999989</v>
      </c>
      <c r="R24" s="598">
        <f t="shared" si="5"/>
        <v>33.99</v>
      </c>
      <c r="S24" s="429">
        <f t="shared" si="0"/>
        <v>2080</v>
      </c>
      <c r="T24" s="504">
        <f t="shared" si="1"/>
        <v>70699.199999999997</v>
      </c>
      <c r="U24" s="500">
        <f t="shared" si="6"/>
        <v>25</v>
      </c>
      <c r="V24" s="430">
        <f t="shared" si="7"/>
        <v>2.5671406003159557E-2</v>
      </c>
      <c r="W24" s="431"/>
    </row>
    <row r="25" spans="1:23">
      <c r="A25" s="364"/>
      <c r="B25" s="364"/>
      <c r="C25" s="364"/>
      <c r="D25" s="364"/>
      <c r="E25" s="549" t="s">
        <v>1395</v>
      </c>
      <c r="F25" s="550">
        <v>1</v>
      </c>
      <c r="G25" s="480">
        <f t="shared" si="10"/>
        <v>120</v>
      </c>
      <c r="H25" s="488">
        <f t="shared" si="3"/>
        <v>271.92</v>
      </c>
      <c r="I25" s="482">
        <f t="shared" si="8"/>
        <v>32630.400000000001</v>
      </c>
      <c r="M25" s="555" t="s">
        <v>1394</v>
      </c>
      <c r="N25" s="555" t="s">
        <v>1383</v>
      </c>
      <c r="O25" s="554">
        <v>1</v>
      </c>
      <c r="P25" s="596">
        <v>25</v>
      </c>
      <c r="Q25" s="598">
        <f t="shared" si="4"/>
        <v>8.9874999999999989</v>
      </c>
      <c r="R25" s="598">
        <f t="shared" si="5"/>
        <v>33.99</v>
      </c>
      <c r="S25" s="429">
        <f t="shared" si="0"/>
        <v>2080</v>
      </c>
      <c r="T25" s="504">
        <f t="shared" si="1"/>
        <v>70699.199999999997</v>
      </c>
      <c r="U25" s="500">
        <f t="shared" si="6"/>
        <v>25</v>
      </c>
      <c r="V25" s="430">
        <f t="shared" si="7"/>
        <v>2.5671406003159557E-2</v>
      </c>
      <c r="W25" s="431"/>
    </row>
    <row r="26" spans="1:23">
      <c r="A26" s="364"/>
      <c r="B26" s="364"/>
      <c r="C26" s="364"/>
      <c r="D26" s="364"/>
      <c r="E26" s="549" t="s">
        <v>1403</v>
      </c>
      <c r="F26" s="550">
        <v>0.5</v>
      </c>
      <c r="G26" s="480">
        <f t="shared" si="10"/>
        <v>120</v>
      </c>
      <c r="H26" s="488">
        <f t="shared" si="3"/>
        <v>271.92</v>
      </c>
      <c r="I26" s="482">
        <f t="shared" si="8"/>
        <v>32630.400000000001</v>
      </c>
      <c r="M26" s="555"/>
      <c r="N26" s="555"/>
      <c r="O26" s="554"/>
      <c r="P26" s="596"/>
      <c r="Q26" s="598">
        <f t="shared" si="4"/>
        <v>0</v>
      </c>
      <c r="R26" s="598">
        <f t="shared" si="5"/>
        <v>0</v>
      </c>
      <c r="S26" s="429">
        <f t="shared" si="0"/>
        <v>0</v>
      </c>
      <c r="T26" s="504">
        <f t="shared" si="1"/>
        <v>0</v>
      </c>
      <c r="U26" s="500">
        <f t="shared" ref="U26:U27" si="11">IF(N26="hlavná",25,15)</f>
        <v>15</v>
      </c>
      <c r="V26" s="430">
        <f t="shared" si="7"/>
        <v>0</v>
      </c>
      <c r="W26" s="431"/>
    </row>
    <row r="27" spans="1:23">
      <c r="A27" s="364"/>
      <c r="B27" s="364"/>
      <c r="C27" s="364"/>
      <c r="D27" s="364"/>
      <c r="E27" s="549" t="s">
        <v>1385</v>
      </c>
      <c r="F27" s="550">
        <v>1</v>
      </c>
      <c r="G27" s="480">
        <f t="shared" si="10"/>
        <v>1440</v>
      </c>
      <c r="H27" s="488">
        <f t="shared" si="3"/>
        <v>271.92</v>
      </c>
      <c r="I27" s="482">
        <f t="shared" si="8"/>
        <v>391564.80000000005</v>
      </c>
      <c r="M27" s="555"/>
      <c r="N27" s="555"/>
      <c r="O27" s="554"/>
      <c r="P27" s="596"/>
      <c r="Q27" s="598">
        <f t="shared" si="4"/>
        <v>0</v>
      </c>
      <c r="R27" s="598">
        <f t="shared" si="5"/>
        <v>0</v>
      </c>
      <c r="S27" s="429">
        <f t="shared" si="0"/>
        <v>0</v>
      </c>
      <c r="T27" s="504">
        <f t="shared" si="1"/>
        <v>0</v>
      </c>
      <c r="U27" s="500">
        <f t="shared" si="11"/>
        <v>15</v>
      </c>
      <c r="V27" s="430">
        <f t="shared" si="7"/>
        <v>0</v>
      </c>
      <c r="W27" s="431"/>
    </row>
    <row r="28" spans="1:23">
      <c r="A28" s="364"/>
      <c r="B28" s="364"/>
      <c r="C28" s="364"/>
      <c r="D28" s="364"/>
      <c r="E28" s="549" t="s">
        <v>1387</v>
      </c>
      <c r="F28" s="550">
        <v>0.8</v>
      </c>
      <c r="G28" s="480">
        <f t="shared" si="10"/>
        <v>384.00000000000006</v>
      </c>
      <c r="H28" s="488">
        <f t="shared" si="3"/>
        <v>271.92</v>
      </c>
      <c r="I28" s="482">
        <f t="shared" si="8"/>
        <v>104417.28000000003</v>
      </c>
    </row>
    <row r="29" spans="1:23">
      <c r="A29" s="367" t="s">
        <v>1358</v>
      </c>
      <c r="B29" s="553">
        <v>2</v>
      </c>
      <c r="C29" s="480">
        <f>SUM(G29:G40)</f>
        <v>624</v>
      </c>
      <c r="D29" s="481">
        <f>IFERROR(SUM(I29:I40)/C29,0)</f>
        <v>271.92</v>
      </c>
      <c r="E29" s="549" t="s">
        <v>1382</v>
      </c>
      <c r="F29" s="550">
        <v>1</v>
      </c>
      <c r="G29" s="480">
        <f t="shared" ref="G29:G40" si="12">IFERROR(VLOOKUP(E29,$M$4:$O$27,3,0)*F29*$B$29*20,)</f>
        <v>40</v>
      </c>
      <c r="H29" s="488">
        <f t="shared" si="3"/>
        <v>271.92</v>
      </c>
      <c r="I29" s="482">
        <f t="shared" si="8"/>
        <v>10876.800000000001</v>
      </c>
    </row>
    <row r="30" spans="1:23">
      <c r="A30" s="364"/>
      <c r="B30" s="364"/>
      <c r="C30" s="364"/>
      <c r="D30" s="364"/>
      <c r="E30" s="549" t="s">
        <v>1388</v>
      </c>
      <c r="F30" s="550">
        <v>1</v>
      </c>
      <c r="G30" s="480">
        <f t="shared" si="12"/>
        <v>80</v>
      </c>
      <c r="H30" s="488">
        <f t="shared" si="3"/>
        <v>271.92</v>
      </c>
      <c r="I30" s="482">
        <f t="shared" si="8"/>
        <v>21753.600000000002</v>
      </c>
    </row>
    <row r="31" spans="1:23">
      <c r="A31" s="364"/>
      <c r="B31" s="364"/>
      <c r="C31" s="364"/>
      <c r="D31" s="364"/>
      <c r="E31" s="549" t="s">
        <v>1389</v>
      </c>
      <c r="F31" s="550">
        <v>1</v>
      </c>
      <c r="G31" s="480">
        <f t="shared" si="12"/>
        <v>40</v>
      </c>
      <c r="H31" s="488">
        <f t="shared" si="3"/>
        <v>271.92</v>
      </c>
      <c r="I31" s="482">
        <f t="shared" si="8"/>
        <v>10876.800000000001</v>
      </c>
    </row>
    <row r="32" spans="1:23">
      <c r="A32" s="364"/>
      <c r="B32" s="364"/>
      <c r="C32" s="364"/>
      <c r="D32" s="364"/>
      <c r="E32" s="549" t="s">
        <v>1390</v>
      </c>
      <c r="F32" s="550">
        <v>0.5</v>
      </c>
      <c r="G32" s="480">
        <f t="shared" si="12"/>
        <v>20</v>
      </c>
      <c r="H32" s="488">
        <f t="shared" si="3"/>
        <v>271.92</v>
      </c>
      <c r="I32" s="482">
        <f t="shared" si="8"/>
        <v>5438.4000000000005</v>
      </c>
    </row>
    <row r="33" spans="1:9">
      <c r="A33" s="364"/>
      <c r="B33" s="364"/>
      <c r="C33" s="364"/>
      <c r="D33" s="364"/>
      <c r="E33" s="549" t="s">
        <v>1393</v>
      </c>
      <c r="F33" s="550">
        <v>0.5</v>
      </c>
      <c r="G33" s="480">
        <f t="shared" si="12"/>
        <v>20</v>
      </c>
      <c r="H33" s="488">
        <f t="shared" si="3"/>
        <v>271.92</v>
      </c>
      <c r="I33" s="482">
        <f t="shared" si="8"/>
        <v>5438.4000000000005</v>
      </c>
    </row>
    <row r="34" spans="1:9">
      <c r="A34" s="364"/>
      <c r="B34" s="364"/>
      <c r="C34" s="364"/>
      <c r="D34" s="364"/>
      <c r="E34" s="549" t="s">
        <v>1394</v>
      </c>
      <c r="F34" s="550">
        <v>0.5</v>
      </c>
      <c r="G34" s="480">
        <f t="shared" si="12"/>
        <v>20</v>
      </c>
      <c r="H34" s="488">
        <f t="shared" si="3"/>
        <v>271.92</v>
      </c>
      <c r="I34" s="482">
        <f t="shared" si="8"/>
        <v>5438.4000000000005</v>
      </c>
    </row>
    <row r="35" spans="1:9">
      <c r="A35" s="364"/>
      <c r="B35" s="364"/>
      <c r="C35" s="364"/>
      <c r="D35" s="364"/>
      <c r="E35" s="549" t="s">
        <v>1395</v>
      </c>
      <c r="F35" s="550">
        <v>1</v>
      </c>
      <c r="G35" s="480">
        <f t="shared" si="12"/>
        <v>20</v>
      </c>
      <c r="H35" s="488">
        <f t="shared" si="3"/>
        <v>271.92</v>
      </c>
      <c r="I35" s="482">
        <f t="shared" ref="I35:I40" si="13">G35*H35</f>
        <v>5438.4000000000005</v>
      </c>
    </row>
    <row r="36" spans="1:9">
      <c r="A36" s="364"/>
      <c r="B36" s="364"/>
      <c r="C36" s="364"/>
      <c r="D36" s="364"/>
      <c r="E36" s="549" t="s">
        <v>1403</v>
      </c>
      <c r="F36" s="550">
        <v>1</v>
      </c>
      <c r="G36" s="480">
        <f t="shared" si="12"/>
        <v>40</v>
      </c>
      <c r="H36" s="488">
        <f t="shared" si="3"/>
        <v>271.92</v>
      </c>
      <c r="I36" s="482">
        <f t="shared" si="13"/>
        <v>10876.800000000001</v>
      </c>
    </row>
    <row r="37" spans="1:9">
      <c r="A37" s="364"/>
      <c r="B37" s="364"/>
      <c r="C37" s="364"/>
      <c r="D37" s="364"/>
      <c r="E37" s="549" t="s">
        <v>1385</v>
      </c>
      <c r="F37" s="550">
        <v>1</v>
      </c>
      <c r="G37" s="480">
        <f t="shared" si="12"/>
        <v>240</v>
      </c>
      <c r="H37" s="488">
        <f t="shared" si="3"/>
        <v>271.92</v>
      </c>
      <c r="I37" s="482">
        <f t="shared" si="13"/>
        <v>65260.800000000003</v>
      </c>
    </row>
    <row r="38" spans="1:9">
      <c r="A38" s="364"/>
      <c r="B38" s="364"/>
      <c r="C38" s="364"/>
      <c r="D38" s="364"/>
      <c r="E38" s="549" t="s">
        <v>1384</v>
      </c>
      <c r="F38" s="550">
        <v>1</v>
      </c>
      <c r="G38" s="480">
        <f t="shared" si="12"/>
        <v>40</v>
      </c>
      <c r="H38" s="488">
        <f t="shared" si="3"/>
        <v>271.92</v>
      </c>
      <c r="I38" s="482">
        <f t="shared" si="13"/>
        <v>10876.800000000001</v>
      </c>
    </row>
    <row r="39" spans="1:9">
      <c r="A39" s="364"/>
      <c r="B39" s="364"/>
      <c r="C39" s="364"/>
      <c r="D39" s="364"/>
      <c r="E39" s="549" t="s">
        <v>1387</v>
      </c>
      <c r="F39" s="550">
        <v>0.8</v>
      </c>
      <c r="G39" s="480">
        <f t="shared" si="12"/>
        <v>64</v>
      </c>
      <c r="H39" s="488">
        <f t="shared" si="3"/>
        <v>271.92</v>
      </c>
      <c r="I39" s="482">
        <f t="shared" si="13"/>
        <v>17402.88</v>
      </c>
    </row>
    <row r="40" spans="1:9">
      <c r="A40" s="364"/>
      <c r="B40" s="364"/>
      <c r="C40" s="364"/>
      <c r="D40" s="364"/>
      <c r="E40" s="549"/>
      <c r="F40" s="550"/>
      <c r="G40" s="480">
        <f t="shared" si="12"/>
        <v>0</v>
      </c>
      <c r="H40" s="488">
        <f t="shared" si="3"/>
        <v>0</v>
      </c>
      <c r="I40" s="482">
        <f t="shared" si="13"/>
        <v>0</v>
      </c>
    </row>
    <row r="41" spans="1:9">
      <c r="A41" s="367" t="s">
        <v>955</v>
      </c>
      <c r="B41" s="553">
        <v>30</v>
      </c>
      <c r="C41" s="480">
        <f>SUM(G41:G52)</f>
        <v>1200</v>
      </c>
      <c r="D41" s="481">
        <f>IFERROR(SUM(I41:I52)/C41,)</f>
        <v>271.92</v>
      </c>
      <c r="E41" s="549" t="s">
        <v>1354</v>
      </c>
      <c r="F41" s="550">
        <v>1</v>
      </c>
      <c r="G41" s="480">
        <f t="shared" ref="G41:G52" si="14">IFERROR(VLOOKUP(E41,$M$4:$O$27,3,0)*F41*$B$41*20,)</f>
        <v>600</v>
      </c>
      <c r="H41" s="488">
        <f t="shared" si="3"/>
        <v>271.92</v>
      </c>
      <c r="I41" s="482">
        <f t="shared" ref="I41:I46" si="15">G41*H41</f>
        <v>163152</v>
      </c>
    </row>
    <row r="42" spans="1:9">
      <c r="A42" s="364"/>
      <c r="B42" s="364"/>
      <c r="C42" s="364"/>
      <c r="D42" s="364"/>
      <c r="E42" s="549" t="s">
        <v>1396</v>
      </c>
      <c r="F42" s="550">
        <v>1</v>
      </c>
      <c r="G42" s="480">
        <f t="shared" si="14"/>
        <v>600</v>
      </c>
      <c r="H42" s="488">
        <f t="shared" si="3"/>
        <v>271.92</v>
      </c>
      <c r="I42" s="482">
        <f t="shared" si="15"/>
        <v>163152</v>
      </c>
    </row>
    <row r="43" spans="1:9">
      <c r="A43" s="364"/>
      <c r="B43" s="364"/>
      <c r="C43" s="364"/>
      <c r="D43" s="364"/>
      <c r="E43" s="549"/>
      <c r="F43" s="550"/>
      <c r="G43" s="480">
        <f t="shared" si="14"/>
        <v>0</v>
      </c>
      <c r="H43" s="488">
        <f t="shared" si="3"/>
        <v>0</v>
      </c>
      <c r="I43" s="482">
        <f t="shared" si="15"/>
        <v>0</v>
      </c>
    </row>
    <row r="44" spans="1:9">
      <c r="A44" s="364"/>
      <c r="B44" s="364"/>
      <c r="C44" s="364"/>
      <c r="D44" s="364"/>
      <c r="E44" s="549"/>
      <c r="F44" s="550"/>
      <c r="G44" s="480">
        <f t="shared" si="14"/>
        <v>0</v>
      </c>
      <c r="H44" s="488">
        <f t="shared" si="3"/>
        <v>0</v>
      </c>
      <c r="I44" s="482">
        <f t="shared" si="15"/>
        <v>0</v>
      </c>
    </row>
    <row r="45" spans="1:9">
      <c r="A45" s="364"/>
      <c r="B45" s="364"/>
      <c r="C45" s="364"/>
      <c r="D45" s="364"/>
      <c r="E45" s="549"/>
      <c r="F45" s="550"/>
      <c r="G45" s="480">
        <f t="shared" si="14"/>
        <v>0</v>
      </c>
      <c r="H45" s="488">
        <f t="shared" si="3"/>
        <v>0</v>
      </c>
      <c r="I45" s="482">
        <f t="shared" si="15"/>
        <v>0</v>
      </c>
    </row>
    <row r="46" spans="1:9">
      <c r="A46" s="364"/>
      <c r="B46" s="364"/>
      <c r="C46" s="364"/>
      <c r="D46" s="364"/>
      <c r="E46" s="549"/>
      <c r="F46" s="550"/>
      <c r="G46" s="480">
        <f t="shared" si="14"/>
        <v>0</v>
      </c>
      <c r="H46" s="488">
        <f t="shared" si="3"/>
        <v>0</v>
      </c>
      <c r="I46" s="482">
        <f t="shared" si="15"/>
        <v>0</v>
      </c>
    </row>
    <row r="47" spans="1:9">
      <c r="E47" s="549"/>
      <c r="F47" s="550"/>
      <c r="G47" s="480">
        <f t="shared" si="14"/>
        <v>0</v>
      </c>
      <c r="H47" s="488">
        <f t="shared" si="3"/>
        <v>0</v>
      </c>
      <c r="I47" s="482">
        <f t="shared" ref="I47:I51" si="16">G47*H47</f>
        <v>0</v>
      </c>
    </row>
    <row r="48" spans="1:9">
      <c r="E48" s="549"/>
      <c r="F48" s="550"/>
      <c r="G48" s="480">
        <f t="shared" si="14"/>
        <v>0</v>
      </c>
      <c r="H48" s="488">
        <f t="shared" si="3"/>
        <v>0</v>
      </c>
      <c r="I48" s="482">
        <f t="shared" si="16"/>
        <v>0</v>
      </c>
    </row>
    <row r="49" spans="1:9">
      <c r="E49" s="549"/>
      <c r="F49" s="550"/>
      <c r="G49" s="480">
        <f t="shared" si="14"/>
        <v>0</v>
      </c>
      <c r="H49" s="488">
        <f t="shared" si="3"/>
        <v>0</v>
      </c>
      <c r="I49" s="482">
        <f t="shared" si="16"/>
        <v>0</v>
      </c>
    </row>
    <row r="50" spans="1:9">
      <c r="E50" s="549"/>
      <c r="F50" s="550"/>
      <c r="G50" s="480">
        <f t="shared" si="14"/>
        <v>0</v>
      </c>
      <c r="H50" s="488">
        <f t="shared" si="3"/>
        <v>0</v>
      </c>
      <c r="I50" s="482">
        <f t="shared" si="16"/>
        <v>0</v>
      </c>
    </row>
    <row r="51" spans="1:9">
      <c r="E51" s="549"/>
      <c r="F51" s="550"/>
      <c r="G51" s="480">
        <f t="shared" si="14"/>
        <v>0</v>
      </c>
      <c r="H51" s="488">
        <f t="shared" si="3"/>
        <v>0</v>
      </c>
      <c r="I51" s="482">
        <f t="shared" si="16"/>
        <v>0</v>
      </c>
    </row>
    <row r="52" spans="1:9">
      <c r="E52" s="549"/>
      <c r="F52" s="550"/>
      <c r="G52" s="480">
        <f t="shared" si="14"/>
        <v>0</v>
      </c>
      <c r="H52" s="488">
        <f t="shared" si="3"/>
        <v>0</v>
      </c>
      <c r="I52" s="482">
        <f t="shared" ref="I52:I63" si="17">G52*H52</f>
        <v>0</v>
      </c>
    </row>
    <row r="53" spans="1:9">
      <c r="A53" s="367" t="s">
        <v>1404</v>
      </c>
      <c r="B53" s="553">
        <v>0</v>
      </c>
      <c r="C53" s="480">
        <f>SUM(G53:G64)</f>
        <v>0</v>
      </c>
      <c r="D53" s="481">
        <f>IFERROR(SUM(I53:I64)/C53,)</f>
        <v>0</v>
      </c>
      <c r="E53" s="549"/>
      <c r="F53" s="550"/>
      <c r="G53" s="480">
        <f t="shared" ref="G53:G63" si="18">IFERROR(VLOOKUP(E53,$M$4:$O$27,3,0)*F53*$B$53*20,)</f>
        <v>0</v>
      </c>
      <c r="H53" s="488">
        <f t="shared" si="3"/>
        <v>0</v>
      </c>
      <c r="I53" s="482">
        <f t="shared" si="17"/>
        <v>0</v>
      </c>
    </row>
    <row r="54" spans="1:9">
      <c r="A54" s="364"/>
      <c r="B54" s="364"/>
      <c r="C54" s="364"/>
      <c r="D54" s="364"/>
      <c r="E54" s="549"/>
      <c r="F54" s="550"/>
      <c r="G54" s="480">
        <f t="shared" si="18"/>
        <v>0</v>
      </c>
      <c r="H54" s="488">
        <f t="shared" si="3"/>
        <v>0</v>
      </c>
      <c r="I54" s="482">
        <f t="shared" si="17"/>
        <v>0</v>
      </c>
    </row>
    <row r="55" spans="1:9">
      <c r="A55" s="364"/>
      <c r="B55" s="364"/>
      <c r="C55" s="364"/>
      <c r="D55" s="364"/>
      <c r="E55" s="549"/>
      <c r="F55" s="550"/>
      <c r="G55" s="480">
        <f t="shared" si="18"/>
        <v>0</v>
      </c>
      <c r="H55" s="488">
        <f t="shared" si="3"/>
        <v>0</v>
      </c>
      <c r="I55" s="482">
        <f t="shared" si="17"/>
        <v>0</v>
      </c>
    </row>
    <row r="56" spans="1:9">
      <c r="A56" s="364"/>
      <c r="B56" s="364"/>
      <c r="C56" s="364"/>
      <c r="D56" s="364"/>
      <c r="E56" s="549"/>
      <c r="F56" s="550"/>
      <c r="G56" s="480">
        <f t="shared" si="18"/>
        <v>0</v>
      </c>
      <c r="H56" s="488">
        <f t="shared" si="3"/>
        <v>0</v>
      </c>
      <c r="I56" s="482">
        <f t="shared" si="17"/>
        <v>0</v>
      </c>
    </row>
    <row r="57" spans="1:9">
      <c r="A57" s="364"/>
      <c r="B57" s="364"/>
      <c r="C57" s="364"/>
      <c r="D57" s="364"/>
      <c r="E57" s="549"/>
      <c r="F57" s="550"/>
      <c r="G57" s="480">
        <f t="shared" si="18"/>
        <v>0</v>
      </c>
      <c r="H57" s="488">
        <f t="shared" si="3"/>
        <v>0</v>
      </c>
      <c r="I57" s="482">
        <f t="shared" si="17"/>
        <v>0</v>
      </c>
    </row>
    <row r="58" spans="1:9">
      <c r="A58" s="364"/>
      <c r="B58" s="364"/>
      <c r="C58" s="364"/>
      <c r="D58" s="364"/>
      <c r="E58" s="549"/>
      <c r="F58" s="550"/>
      <c r="G58" s="480">
        <f t="shared" si="18"/>
        <v>0</v>
      </c>
      <c r="H58" s="488">
        <f t="shared" si="3"/>
        <v>0</v>
      </c>
      <c r="I58" s="482">
        <f t="shared" si="17"/>
        <v>0</v>
      </c>
    </row>
    <row r="59" spans="1:9">
      <c r="E59" s="549"/>
      <c r="F59" s="550"/>
      <c r="G59" s="480">
        <f t="shared" si="18"/>
        <v>0</v>
      </c>
      <c r="H59" s="488">
        <f t="shared" si="3"/>
        <v>0</v>
      </c>
      <c r="I59" s="482">
        <f t="shared" si="17"/>
        <v>0</v>
      </c>
    </row>
    <row r="60" spans="1:9">
      <c r="E60" s="549"/>
      <c r="F60" s="550"/>
      <c r="G60" s="480">
        <f t="shared" si="18"/>
        <v>0</v>
      </c>
      <c r="H60" s="488">
        <f t="shared" si="3"/>
        <v>0</v>
      </c>
      <c r="I60" s="482">
        <f t="shared" si="17"/>
        <v>0</v>
      </c>
    </row>
    <row r="61" spans="1:9">
      <c r="E61" s="549"/>
      <c r="F61" s="550"/>
      <c r="G61" s="480">
        <f t="shared" si="18"/>
        <v>0</v>
      </c>
      <c r="H61" s="488">
        <f t="shared" si="3"/>
        <v>0</v>
      </c>
      <c r="I61" s="482">
        <f t="shared" si="17"/>
        <v>0</v>
      </c>
    </row>
    <row r="62" spans="1:9">
      <c r="E62" s="549"/>
      <c r="F62" s="550"/>
      <c r="G62" s="480">
        <f t="shared" si="18"/>
        <v>0</v>
      </c>
      <c r="H62" s="488">
        <f t="shared" si="3"/>
        <v>0</v>
      </c>
      <c r="I62" s="482">
        <f t="shared" si="17"/>
        <v>0</v>
      </c>
    </row>
    <row r="63" spans="1:9">
      <c r="E63" s="549"/>
      <c r="F63" s="550"/>
      <c r="G63" s="480">
        <f t="shared" si="18"/>
        <v>0</v>
      </c>
      <c r="H63" s="488">
        <f t="shared" si="3"/>
        <v>0</v>
      </c>
      <c r="I63" s="482">
        <f t="shared" si="17"/>
        <v>0</v>
      </c>
    </row>
    <row r="64" spans="1:9">
      <c r="A64" s="367" t="str">
        <f>IF(SUM('Zdroje Financovania'!L3:L21)&gt;0,TEXT("Saldokonto - Pomocný výpočet",),TEXT(" ",))</f>
        <v>Saldokonto - Pomocný výpočet</v>
      </c>
      <c r="B64" s="801"/>
      <c r="C64" s="802"/>
      <c r="D64" s="802"/>
      <c r="E64" s="802"/>
      <c r="F64" s="802"/>
      <c r="G64" s="802"/>
      <c r="H64" s="803"/>
      <c r="I64" s="482">
        <f>IF(SUM('Zdroje Financovania'!L3:L21)&gt;0,I65-(SUM(I41:I63)+SUM(EXTERNE_POZICIE!M41:M64)*1.23),0)</f>
        <v>-326304</v>
      </c>
    </row>
    <row r="65" spans="1:9">
      <c r="A65" s="367" t="str">
        <f>IF(SUM('Zdroje Financovania'!L3:L21)&gt;0,TEXT("Podporné oblasti projektu",),TEXT(" ",))</f>
        <v>Podporné oblasti projektu</v>
      </c>
      <c r="B65" s="804"/>
      <c r="C65" s="805"/>
      <c r="D65" s="805"/>
      <c r="E65" s="805"/>
      <c r="F65" s="805"/>
      <c r="G65" s="805"/>
      <c r="H65" s="657">
        <f>IF(SUM('Zdroje Financovania'!L3:L21)&gt;0,0,0)</f>
        <v>0</v>
      </c>
      <c r="I65" s="657">
        <f>IF(SUM('Zdroje Financovania'!L3:L21)&gt;0,H65*(EXTERNE_POZICIE!M1*1.23+POZICIE_INTERNE!I1+'Rozpočet - HW a licencie'!I1),0)</f>
        <v>0</v>
      </c>
    </row>
  </sheetData>
  <mergeCells count="4">
    <mergeCell ref="E1:F1"/>
    <mergeCell ref="E2:F2"/>
    <mergeCell ref="B64:H64"/>
    <mergeCell ref="B65:G65"/>
  </mergeCells>
  <conditionalFormatting sqref="P4:P27">
    <cfRule type="cellIs" dxfId="4" priority="1" operator="greaterThan">
      <formula>$U4</formula>
    </cfRule>
  </conditionalFormatting>
  <conditionalFormatting sqref="Q2">
    <cfRule type="cellIs" dxfId="3" priority="6" operator="greaterThan">
      <formula>0.2</formula>
    </cfRule>
  </conditionalFormatting>
  <dataValidations count="1">
    <dataValidation type="list" allowBlank="1" showInputMessage="1" showErrorMessage="1" sqref="E4:E63"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143" zoomScaleNormal="90" workbookViewId="0">
      <pane ySplit="2" topLeftCell="A3" activePane="bottomLeft" state="frozen"/>
      <selection activeCell="J3" sqref="J3:J11"/>
      <selection pane="bottomLeft" activeCell="D9" sqref="D9"/>
    </sheetView>
  </sheetViews>
  <sheetFormatPr defaultColWidth="8.7109375" defaultRowHeight="15"/>
  <cols>
    <col min="1" max="1" width="9.42578125" style="362" customWidth="1"/>
    <col min="2" max="2" width="36.28515625" style="362" customWidth="1"/>
    <col min="3" max="3" width="31.28515625" style="362" customWidth="1"/>
    <col min="4" max="4" width="51.42578125" style="362" customWidth="1"/>
    <col min="5" max="5" width="14.140625" style="362" bestFit="1" customWidth="1"/>
    <col min="6" max="6" width="14.140625" style="362" customWidth="1"/>
    <col min="7" max="7" width="13.7109375" style="362" customWidth="1"/>
    <col min="8" max="8" width="14.7109375" style="362" customWidth="1"/>
    <col min="9" max="9" width="14.85546875" style="369" customWidth="1"/>
    <col min="10" max="11" width="14.85546875" style="362" customWidth="1"/>
    <col min="12" max="12" width="52.140625" style="362" customWidth="1"/>
    <col min="13" max="16384" width="8.7109375" style="362"/>
  </cols>
  <sheetData>
    <row r="1" spans="1:12">
      <c r="A1" s="806" t="s">
        <v>1405</v>
      </c>
      <c r="B1" s="807"/>
      <c r="C1" s="807"/>
      <c r="D1" s="808"/>
      <c r="E1" s="483">
        <f>SUM(E3:E35)</f>
        <v>34626</v>
      </c>
      <c r="F1" s="483">
        <f>SUM(F3:F35)</f>
        <v>8928</v>
      </c>
      <c r="G1" s="489"/>
      <c r="H1" s="483"/>
      <c r="I1" s="484">
        <f>SUM(I3:I35)</f>
        <v>2427701.7600000002</v>
      </c>
      <c r="J1" s="484">
        <f>SUM(J3:J35)</f>
        <v>19631012.790000003</v>
      </c>
      <c r="K1" s="484">
        <f>SUM(K3:K35)</f>
        <v>22058714.550000004</v>
      </c>
      <c r="L1" s="485"/>
    </row>
    <row r="2" spans="1:12" ht="51" customHeight="1">
      <c r="A2" s="486" t="s">
        <v>1406</v>
      </c>
      <c r="B2" s="486" t="s">
        <v>1407</v>
      </c>
      <c r="C2" s="486" t="s">
        <v>1369</v>
      </c>
      <c r="D2" s="486" t="s">
        <v>1408</v>
      </c>
      <c r="E2" s="487" t="s">
        <v>1409</v>
      </c>
      <c r="F2" s="487" t="s">
        <v>1410</v>
      </c>
      <c r="G2" s="487" t="s">
        <v>1411</v>
      </c>
      <c r="H2" s="487" t="s">
        <v>1412</v>
      </c>
      <c r="I2" s="487" t="s">
        <v>1413</v>
      </c>
      <c r="J2" s="487" t="s">
        <v>1414</v>
      </c>
      <c r="K2" s="487" t="s">
        <v>150</v>
      </c>
      <c r="L2" s="487" t="s">
        <v>1337</v>
      </c>
    </row>
    <row r="3" spans="1:12" ht="15" customHeight="1">
      <c r="A3" s="811" t="s">
        <v>240</v>
      </c>
      <c r="B3" s="556" t="s">
        <v>241</v>
      </c>
      <c r="C3" s="433" t="s">
        <v>1338</v>
      </c>
      <c r="D3" s="556" t="s">
        <v>1415</v>
      </c>
      <c r="E3" s="638">
        <f>IFERROR(VLOOKUP(B3,MODULY_CBA!$B$3:$O$23,14,0)*VLOOKUP('Rozpocet - Vyvoj aplikacii'!C3,EXTERNE_POZICIE!$A$4:$C$39,3,0),0)</f>
        <v>1799.8386090573013</v>
      </c>
      <c r="F3" s="496">
        <f>IFERROR(VLOOKUP(C3,POZICIE_INTERNE!$A$4:$D$40,3,0)*VLOOKUP(B3,MODULY_CBA!$B$3:$J$23,9,0)/SUM(MODULY_CBA!$J$3:$J$23),)</f>
        <v>706.90619223659894</v>
      </c>
      <c r="G3" s="502">
        <f>IFERROR(IF(ISTEXT(B3),VLOOKUP(C3,POZICIE_INTERNE!$A$4:$D$40,4,0),),)</f>
        <v>271.92</v>
      </c>
      <c r="H3" s="503">
        <f>IF(ISTEXT(B3),VLOOKUP(C3,EXTERNE_POZICIE!$A$4:$E$39,5,0),)</f>
        <v>503.8642664613015</v>
      </c>
      <c r="I3" s="497">
        <f>G3*F3</f>
        <v>192221.93179297599</v>
      </c>
      <c r="J3" s="497">
        <f>E3*H3*1.23</f>
        <v>1115455.4634167051</v>
      </c>
      <c r="K3" s="497">
        <f>J3+I3</f>
        <v>1307677.3952096812</v>
      </c>
      <c r="L3" s="557"/>
    </row>
    <row r="4" spans="1:12" ht="15" customHeight="1">
      <c r="A4" s="809"/>
      <c r="B4" s="556" t="s">
        <v>241</v>
      </c>
      <c r="C4" s="433" t="s">
        <v>1351</v>
      </c>
      <c r="D4" s="556" t="s">
        <v>1415</v>
      </c>
      <c r="E4" s="638">
        <f>IFERROR(VLOOKUP(B4,MODULY_CBA!$B$3:$O$23,14,0)*VLOOKUP('Rozpocet - Vyvoj aplikacii'!C4,EXTERNE_POZICIE!$A$4:$C$39,3,0),0)</f>
        <v>3299.7618703789281</v>
      </c>
      <c r="F4" s="496">
        <f>IFERROR(VLOOKUP(C4,POZICIE_INTERNE!$A$4:$D$40,3,0)*VLOOKUP(B4,MODULY_CBA!$B$3:$J$23,9,0)/SUM(MODULY_CBA!$J$3:$J$23),)</f>
        <v>731.85582255083182</v>
      </c>
      <c r="G4" s="502">
        <f>IFERROR(IF(ISTEXT(B4),VLOOKUP(C4,POZICIE_INTERNE!$A$4:$D$40,4,0),),)</f>
        <v>271.92</v>
      </c>
      <c r="H4" s="503">
        <f>IF(ISTEXT(B4),VLOOKUP(C4,EXTERNE_POZICIE!$A$4:$E$39,5,0),)</f>
        <v>443.70286164347596</v>
      </c>
      <c r="I4" s="497">
        <f t="shared" ref="I4:I65" si="0">G4*F4</f>
        <v>199006.2352680222</v>
      </c>
      <c r="J4" s="497">
        <f t="shared" ref="J4:J65" si="1">E4*H4*1.23</f>
        <v>1800859.9550938655</v>
      </c>
      <c r="K4" s="497">
        <f t="shared" ref="K4:K22" si="2">J4+I4</f>
        <v>1999866.1903618877</v>
      </c>
      <c r="L4" s="557"/>
    </row>
    <row r="5" spans="1:12" ht="15" customHeight="1">
      <c r="A5" s="809"/>
      <c r="B5" s="556" t="s">
        <v>241</v>
      </c>
      <c r="C5" s="433" t="s">
        <v>1358</v>
      </c>
      <c r="D5" s="556" t="s">
        <v>1415</v>
      </c>
      <c r="E5" s="638">
        <f>IFERROR(VLOOKUP(B5,MODULY_CBA!$B$3:$O$23,14,0)*VLOOKUP('Rozpocet - Vyvoj aplikacii'!C5,EXTERNE_POZICIE!$A$4:$C$39,3,0),0)</f>
        <v>899.74604320702406</v>
      </c>
      <c r="F5" s="496">
        <f>IFERROR(VLOOKUP(C5,POZICIE_INTERNE!$A$4:$D$40,3,0)*VLOOKUP(B5,MODULY_CBA!$B$3:$J$23,9,0)/SUM(MODULY_CBA!$J$3:$J$23),)</f>
        <v>108.11506469500924</v>
      </c>
      <c r="G5" s="502">
        <f>IFERROR(IF(ISTEXT(B5),VLOOKUP(C5,POZICIE_INTERNE!$A$4:$D$40,4,0),),)</f>
        <v>271.92</v>
      </c>
      <c r="H5" s="503">
        <f>IF(ISTEXT(B5),VLOOKUP(C5,EXTERNE_POZICIE!$A$4:$E$39,5,0),)</f>
        <v>438.22645869439629</v>
      </c>
      <c r="I5" s="497">
        <f t="shared" si="0"/>
        <v>29398.648391866915</v>
      </c>
      <c r="J5" s="497">
        <f t="shared" si="1"/>
        <v>484979.8023538586</v>
      </c>
      <c r="K5" s="497">
        <f t="shared" si="2"/>
        <v>514378.45074572554</v>
      </c>
      <c r="L5" s="557"/>
    </row>
    <row r="6" spans="1:12" ht="15" customHeight="1">
      <c r="A6" s="809" t="s">
        <v>243</v>
      </c>
      <c r="B6" s="556" t="s">
        <v>244</v>
      </c>
      <c r="C6" s="433" t="s">
        <v>1338</v>
      </c>
      <c r="D6" s="556" t="s">
        <v>1415</v>
      </c>
      <c r="E6" s="638">
        <f>IFERROR(VLOOKUP(B6,MODULY_CBA!$B$3:$O$23,14,0)*VLOOKUP('Rozpocet - Vyvoj aplikacii'!C6,EXTERNE_POZICIE!$A$4:$C$39,3,0),0)</f>
        <v>127.20979667282808</v>
      </c>
      <c r="F6" s="496">
        <f>IFERROR(VLOOKUP(C6,POZICIE_INTERNE!$A$4:$D$40,3,0)*VLOOKUP(B6,MODULY_CBA!$B$3:$J$23,9,0)/SUM(MODULY_CBA!$J$3:$J$23),)</f>
        <v>49.963031423290204</v>
      </c>
      <c r="G6" s="502">
        <f>IFERROR(IF(ISTEXT(B6),VLOOKUP(C6,POZICIE_INTERNE!$A$4:$D$40,4,0),),)</f>
        <v>271.92</v>
      </c>
      <c r="H6" s="503">
        <f>IF(ISTEXT(B6),VLOOKUP(C6,EXTERNE_POZICIE!$A$4:$E$39,5,0),)</f>
        <v>503.8642664613015</v>
      </c>
      <c r="I6" s="497">
        <f t="shared" si="0"/>
        <v>13585.947504621074</v>
      </c>
      <c r="J6" s="497">
        <f t="shared" si="1"/>
        <v>78838.65919131237</v>
      </c>
      <c r="K6" s="497">
        <f t="shared" si="2"/>
        <v>92424.606695933442</v>
      </c>
      <c r="L6" s="557"/>
    </row>
    <row r="7" spans="1:12" ht="15" customHeight="1">
      <c r="A7" s="809"/>
      <c r="B7" s="556" t="s">
        <v>244</v>
      </c>
      <c r="C7" s="433" t="s">
        <v>1351</v>
      </c>
      <c r="D7" s="556" t="s">
        <v>1415</v>
      </c>
      <c r="E7" s="638">
        <f>IFERROR(VLOOKUP(B7,MODULY_CBA!$B$3:$O$23,14,0)*VLOOKUP('Rozpocet - Vyvoj aplikacii'!C7,EXTERNE_POZICIE!$A$4:$C$39,3,0),0)</f>
        <v>233.22204251386322</v>
      </c>
      <c r="F7" s="496">
        <f>IFERROR(VLOOKUP(C7,POZICIE_INTERNE!$A$4:$D$40,3,0)*VLOOKUP(B7,MODULY_CBA!$B$3:$J$23,9,0)/SUM(MODULY_CBA!$J$3:$J$23),)</f>
        <v>51.726432532347502</v>
      </c>
      <c r="G7" s="502">
        <f>IFERROR(IF(ISTEXT(B7),VLOOKUP(C7,POZICIE_INTERNE!$A$4:$D$40,4,0),),)</f>
        <v>271.92</v>
      </c>
      <c r="H7" s="503">
        <f>IF(ISTEXT(B7),VLOOKUP(C7,EXTERNE_POZICIE!$A$4:$E$39,5,0),)</f>
        <v>443.70286164347596</v>
      </c>
      <c r="I7" s="497">
        <f t="shared" si="0"/>
        <v>14065.451534195934</v>
      </c>
      <c r="J7" s="497">
        <f t="shared" si="1"/>
        <v>127281.98382393715</v>
      </c>
      <c r="K7" s="497">
        <f t="shared" si="2"/>
        <v>141347.43535813308</v>
      </c>
      <c r="L7" s="557"/>
    </row>
    <row r="8" spans="1:12" ht="15" customHeight="1">
      <c r="A8" s="809"/>
      <c r="B8" s="556" t="s">
        <v>244</v>
      </c>
      <c r="C8" s="433" t="s">
        <v>1358</v>
      </c>
      <c r="D8" s="556" t="s">
        <v>1415</v>
      </c>
      <c r="E8" s="638">
        <f>IFERROR(VLOOKUP(B8,MODULY_CBA!$B$3:$O$23,14,0)*VLOOKUP('Rozpocet - Vyvoj aplikacii'!C8,EXTERNE_POZICIE!$A$4:$C$39,3,0),0)</f>
        <v>63.592652495378921</v>
      </c>
      <c r="F8" s="496">
        <f>IFERROR(VLOOKUP(C8,POZICIE_INTERNE!$A$4:$D$40,3,0)*VLOOKUP(B8,MODULY_CBA!$B$3:$J$23,9,0)/SUM(MODULY_CBA!$J$3:$J$23),)</f>
        <v>7.6414048059149726</v>
      </c>
      <c r="G8" s="502">
        <f>IFERROR(IF(ISTEXT(B8),VLOOKUP(C8,POZICIE_INTERNE!$A$4:$D$40,4,0),),)</f>
        <v>271.92</v>
      </c>
      <c r="H8" s="503">
        <f>IF(ISTEXT(B8),VLOOKUP(C8,EXTERNE_POZICIE!$A$4:$E$39,5,0),)</f>
        <v>438.22645869439629</v>
      </c>
      <c r="I8" s="497">
        <f t="shared" si="0"/>
        <v>2077.8507948243996</v>
      </c>
      <c r="J8" s="497">
        <f t="shared" si="1"/>
        <v>34277.618969500923</v>
      </c>
      <c r="K8" s="497">
        <f t="shared" si="2"/>
        <v>36355.469764325324</v>
      </c>
      <c r="L8" s="557"/>
    </row>
    <row r="9" spans="1:12" ht="15" customHeight="1">
      <c r="A9" s="809" t="s">
        <v>245</v>
      </c>
      <c r="B9" s="556" t="s">
        <v>246</v>
      </c>
      <c r="C9" s="433" t="s">
        <v>1338</v>
      </c>
      <c r="D9" s="556" t="s">
        <v>1415</v>
      </c>
      <c r="E9" s="638">
        <f>IFERROR(VLOOKUP(B9,MODULY_CBA!$B$3:$O$23,14,0)*VLOOKUP('Rozpocet - Vyvoj aplikacii'!C9,EXTERNE_POZICIE!$A$4:$C$39,3,0),0)</f>
        <v>124.20956561922365</v>
      </c>
      <c r="F9" s="496">
        <f>IFERROR(VLOOKUP(C9,POZICIE_INTERNE!$A$4:$D$40,3,0)*VLOOKUP(B9,MODULY_CBA!$B$3:$J$23,9,0)/SUM(MODULY_CBA!$J$3:$J$23),)</f>
        <v>48.784658040665434</v>
      </c>
      <c r="G9" s="502">
        <f>IFERROR(IF(ISTEXT(B9),VLOOKUP(C9,POZICIE_INTERNE!$A$4:$D$40,4,0),),)</f>
        <v>271.92</v>
      </c>
      <c r="H9" s="503">
        <f>IF(ISTEXT(B9),VLOOKUP(C9,EXTERNE_POZICIE!$A$4:$E$39,5,0),)</f>
        <v>503.8642664613015</v>
      </c>
      <c r="I9" s="497">
        <f t="shared" si="0"/>
        <v>13265.524214417746</v>
      </c>
      <c r="J9" s="497">
        <f t="shared" si="1"/>
        <v>76979.256851894635</v>
      </c>
      <c r="K9" s="497">
        <f t="shared" si="2"/>
        <v>90244.781066312382</v>
      </c>
      <c r="L9" s="557"/>
    </row>
    <row r="10" spans="1:12" ht="15" customHeight="1">
      <c r="A10" s="809"/>
      <c r="B10" s="556" t="s">
        <v>246</v>
      </c>
      <c r="C10" s="433" t="s">
        <v>1351</v>
      </c>
      <c r="D10" s="556" t="s">
        <v>1415</v>
      </c>
      <c r="E10" s="638">
        <f>IFERROR(VLOOKUP(B10,MODULY_CBA!$B$3:$O$23,14,0)*VLOOKUP('Rozpocet - Vyvoj aplikacii'!C10,EXTERNE_POZICIE!$A$4:$C$39,3,0),0)</f>
        <v>227.72152264325325</v>
      </c>
      <c r="F10" s="496">
        <f>IFERROR(VLOOKUP(C10,POZICIE_INTERNE!$A$4:$D$40,3,0)*VLOOKUP(B10,MODULY_CBA!$B$3:$J$23,9,0)/SUM(MODULY_CBA!$J$3:$J$23),)</f>
        <v>50.506469500924212</v>
      </c>
      <c r="G10" s="502">
        <f>IFERROR(IF(ISTEXT(B10),VLOOKUP(C10,POZICIE_INTERNE!$A$4:$D$40,4,0),),)</f>
        <v>271.92</v>
      </c>
      <c r="H10" s="503">
        <f>IF(ISTEXT(B10),VLOOKUP(C10,EXTERNE_POZICIE!$A$4:$E$39,5,0),)</f>
        <v>443.70286164347596</v>
      </c>
      <c r="I10" s="497">
        <f t="shared" si="0"/>
        <v>13733.719186691313</v>
      </c>
      <c r="J10" s="497">
        <f t="shared" si="1"/>
        <v>124280.05024318393</v>
      </c>
      <c r="K10" s="497">
        <f t="shared" si="2"/>
        <v>138013.76942987525</v>
      </c>
      <c r="L10" s="557"/>
    </row>
    <row r="11" spans="1:12" ht="15" customHeight="1">
      <c r="A11" s="809"/>
      <c r="B11" s="556" t="s">
        <v>246</v>
      </c>
      <c r="C11" s="433" t="s">
        <v>1358</v>
      </c>
      <c r="D11" s="556" t="s">
        <v>1415</v>
      </c>
      <c r="E11" s="638">
        <f>IFERROR(VLOOKUP(B11,MODULY_CBA!$B$3:$O$23,14,0)*VLOOKUP('Rozpocet - Vyvoj aplikacii'!C11,EXTERNE_POZICIE!$A$4:$C$39,3,0),0)</f>
        <v>62.092825785582257</v>
      </c>
      <c r="F11" s="496">
        <f>IFERROR(VLOOKUP(C11,POZICIE_INTERNE!$A$4:$D$40,3,0)*VLOOKUP(B11,MODULY_CBA!$B$3:$J$23,9,0)/SUM(MODULY_CBA!$J$3:$J$23),)</f>
        <v>7.4611829944547132</v>
      </c>
      <c r="G11" s="502">
        <f>IFERROR(IF(ISTEXT(B11),VLOOKUP(C11,POZICIE_INTERNE!$A$4:$D$40,4,0),),)</f>
        <v>271.92</v>
      </c>
      <c r="H11" s="503">
        <f>IF(ISTEXT(B11),VLOOKUP(C11,EXTERNE_POZICIE!$A$4:$E$39,5,0),)</f>
        <v>438.22645869439629</v>
      </c>
      <c r="I11" s="497">
        <f t="shared" si="0"/>
        <v>2028.8448798521258</v>
      </c>
      <c r="J11" s="497">
        <f t="shared" si="1"/>
        <v>33469.184559842877</v>
      </c>
      <c r="K11" s="497">
        <f t="shared" si="2"/>
        <v>35498.029439695005</v>
      </c>
      <c r="L11" s="557"/>
    </row>
    <row r="12" spans="1:12" ht="15" customHeight="1">
      <c r="A12" s="809" t="s">
        <v>247</v>
      </c>
      <c r="B12" s="556" t="s">
        <v>248</v>
      </c>
      <c r="C12" s="433" t="s">
        <v>1338</v>
      </c>
      <c r="D12" s="556" t="s">
        <v>1415</v>
      </c>
      <c r="E12" s="638">
        <f>IFERROR(VLOOKUP(B12,MODULY_CBA!$B$3:$O$23,14,0)*VLOOKUP('Rozpocet - Vyvoj aplikacii'!C12,EXTERNE_POZICIE!$A$4:$C$39,3,0),0)</f>
        <v>74.405730129390008</v>
      </c>
      <c r="F12" s="496">
        <f>IFERROR(VLOOKUP(C12,POZICIE_INTERNE!$A$4:$D$40,3,0)*VLOOKUP(B12,MODULY_CBA!$B$3:$J$23,9,0)/SUM(MODULY_CBA!$J$3:$J$23),)</f>
        <v>29.223659889094272</v>
      </c>
      <c r="G12" s="502">
        <f>IFERROR(IF(ISTEXT(B12),VLOOKUP(C12,POZICIE_INTERNE!$A$4:$D$40,4,0),),)</f>
        <v>271.92</v>
      </c>
      <c r="H12" s="503">
        <f>IF(ISTEXT(B12),VLOOKUP(C12,EXTERNE_POZICIE!$A$4:$E$39,5,0),)</f>
        <v>503.8642664613015</v>
      </c>
      <c r="I12" s="497">
        <f t="shared" si="0"/>
        <v>7946.4975970425148</v>
      </c>
      <c r="J12" s="497">
        <f t="shared" si="1"/>
        <v>46113.178017560065</v>
      </c>
      <c r="K12" s="497">
        <f t="shared" si="2"/>
        <v>54059.67561460258</v>
      </c>
      <c r="L12" s="557"/>
    </row>
    <row r="13" spans="1:12" ht="15" customHeight="1">
      <c r="A13" s="809"/>
      <c r="B13" s="556" t="s">
        <v>248</v>
      </c>
      <c r="C13" s="433" t="s">
        <v>1351</v>
      </c>
      <c r="D13" s="556" t="s">
        <v>1415</v>
      </c>
      <c r="E13" s="638">
        <f>IFERROR(VLOOKUP(B13,MODULY_CBA!$B$3:$O$23,14,0)*VLOOKUP('Rozpocet - Vyvoj aplikacii'!C13,EXTERNE_POZICIE!$A$4:$C$39,3,0),0)</f>
        <v>136.41289279112755</v>
      </c>
      <c r="F13" s="496">
        <f>IFERROR(VLOOKUP(C13,POZICIE_INTERNE!$A$4:$D$40,3,0)*VLOOKUP(B13,MODULY_CBA!$B$3:$J$23,9,0)/SUM(MODULY_CBA!$J$3:$J$23),)</f>
        <v>30.255083179297596</v>
      </c>
      <c r="G13" s="502">
        <f>IFERROR(IF(ISTEXT(B13),VLOOKUP(C13,POZICIE_INTERNE!$A$4:$D$40,4,0),),)</f>
        <v>271.92</v>
      </c>
      <c r="H13" s="503">
        <f>IF(ISTEXT(B13),VLOOKUP(C13,EXTERNE_POZICIE!$A$4:$E$39,5,0),)</f>
        <v>443.70286164347596</v>
      </c>
      <c r="I13" s="497">
        <f t="shared" si="0"/>
        <v>8226.9622181146024</v>
      </c>
      <c r="J13" s="497">
        <f t="shared" si="1"/>
        <v>74447.952802680215</v>
      </c>
      <c r="K13" s="497">
        <f t="shared" si="2"/>
        <v>82674.915020794811</v>
      </c>
      <c r="L13" s="557"/>
    </row>
    <row r="14" spans="1:12" ht="15" customHeight="1">
      <c r="A14" s="810"/>
      <c r="B14" s="556" t="s">
        <v>248</v>
      </c>
      <c r="C14" s="433" t="s">
        <v>1358</v>
      </c>
      <c r="D14" s="556" t="s">
        <v>1415</v>
      </c>
      <c r="E14" s="638">
        <f>IFERROR(VLOOKUP(B14,MODULY_CBA!$B$3:$O$23,14,0)*VLOOKUP('Rozpocet - Vyvoj aplikacii'!C14,EXTERNE_POZICIE!$A$4:$C$39,3,0),0)</f>
        <v>37.195702402957487</v>
      </c>
      <c r="F14" s="496">
        <f>IFERROR(VLOOKUP(C14,POZICIE_INTERNE!$A$4:$D$40,3,0)*VLOOKUP(B14,MODULY_CBA!$B$3:$J$23,9,0)/SUM(MODULY_CBA!$J$3:$J$23),)</f>
        <v>4.4695009242144179</v>
      </c>
      <c r="G14" s="502">
        <f>IFERROR(IF(ISTEXT(B14),VLOOKUP(C14,POZICIE_INTERNE!$A$4:$D$40,4,0),),)</f>
        <v>271.92</v>
      </c>
      <c r="H14" s="503">
        <f>IF(ISTEXT(B14),VLOOKUP(C14,EXTERNE_POZICIE!$A$4:$E$39,5,0),)</f>
        <v>438.22645869439629</v>
      </c>
      <c r="I14" s="497">
        <f t="shared" si="0"/>
        <v>1215.3466913123846</v>
      </c>
      <c r="J14" s="497">
        <f t="shared" si="1"/>
        <v>20049.173359519409</v>
      </c>
      <c r="K14" s="497">
        <f t="shared" si="2"/>
        <v>21264.520050831794</v>
      </c>
      <c r="L14" s="557"/>
    </row>
    <row r="15" spans="1:12" ht="15" customHeight="1">
      <c r="A15" s="811" t="s">
        <v>249</v>
      </c>
      <c r="B15" s="556" t="s">
        <v>250</v>
      </c>
      <c r="C15" s="433" t="s">
        <v>1338</v>
      </c>
      <c r="D15" s="556" t="s">
        <v>1415</v>
      </c>
      <c r="E15" s="638">
        <f>IFERROR(VLOOKUP(B15,MODULY_CBA!$B$3:$O$23,14,0)*VLOOKUP('Rozpocet - Vyvoj aplikacii'!C15,EXTERNE_POZICIE!$A$4:$C$39,3,0),0)</f>
        <v>124.20956561922365</v>
      </c>
      <c r="F15" s="496">
        <f>IFERROR(VLOOKUP(C15,POZICIE_INTERNE!$A$4:$D$40,3,0)*VLOOKUP(B15,MODULY_CBA!$B$3:$J$23,9,0)/SUM(MODULY_CBA!$J$3:$J$23),)</f>
        <v>48.784658040665434</v>
      </c>
      <c r="G15" s="502">
        <f>IFERROR(IF(ISTEXT(B15),VLOOKUP(C15,POZICIE_INTERNE!$A$4:$D$40,4,0),),)</f>
        <v>271.92</v>
      </c>
      <c r="H15" s="503">
        <f>IF(ISTEXT(B15),VLOOKUP(C15,EXTERNE_POZICIE!$A$4:$E$39,5,0),)</f>
        <v>503.8642664613015</v>
      </c>
      <c r="I15" s="497">
        <f t="shared" si="0"/>
        <v>13265.524214417746</v>
      </c>
      <c r="J15" s="497">
        <f t="shared" si="1"/>
        <v>76979.256851894635</v>
      </c>
      <c r="K15" s="497">
        <f t="shared" si="2"/>
        <v>90244.781066312382</v>
      </c>
      <c r="L15" s="557"/>
    </row>
    <row r="16" spans="1:12" ht="15" customHeight="1">
      <c r="A16" s="809"/>
      <c r="B16" s="556" t="s">
        <v>250</v>
      </c>
      <c r="C16" s="433" t="s">
        <v>1351</v>
      </c>
      <c r="D16" s="556" t="s">
        <v>1415</v>
      </c>
      <c r="E16" s="638">
        <f>IFERROR(VLOOKUP(B16,MODULY_CBA!$B$3:$O$23,14,0)*VLOOKUP('Rozpocet - Vyvoj aplikacii'!C16,EXTERNE_POZICIE!$A$4:$C$39,3,0),0)</f>
        <v>227.72152264325325</v>
      </c>
      <c r="F16" s="496">
        <f>IFERROR(VLOOKUP(C16,POZICIE_INTERNE!$A$4:$D$40,3,0)*VLOOKUP(B16,MODULY_CBA!$B$3:$J$23,9,0)/SUM(MODULY_CBA!$J$3:$J$23),)</f>
        <v>50.506469500924212</v>
      </c>
      <c r="G16" s="502">
        <f>IFERROR(IF(ISTEXT(B16),VLOOKUP(C16,POZICIE_INTERNE!$A$4:$D$40,4,0),),)</f>
        <v>271.92</v>
      </c>
      <c r="H16" s="503">
        <f>IF(ISTEXT(B16),VLOOKUP(C16,EXTERNE_POZICIE!$A$4:$E$39,5,0),)</f>
        <v>443.70286164347596</v>
      </c>
      <c r="I16" s="497">
        <f t="shared" si="0"/>
        <v>13733.719186691313</v>
      </c>
      <c r="J16" s="497">
        <f t="shared" si="1"/>
        <v>124280.05024318393</v>
      </c>
      <c r="K16" s="497">
        <f t="shared" si="2"/>
        <v>138013.76942987525</v>
      </c>
      <c r="L16" s="557"/>
    </row>
    <row r="17" spans="1:12" ht="15" customHeight="1">
      <c r="A17" s="809"/>
      <c r="B17" s="556" t="s">
        <v>250</v>
      </c>
      <c r="C17" s="433" t="s">
        <v>1358</v>
      </c>
      <c r="D17" s="556" t="s">
        <v>1415</v>
      </c>
      <c r="E17" s="638">
        <f>IFERROR(VLOOKUP(B17,MODULY_CBA!$B$3:$O$23,14,0)*VLOOKUP('Rozpocet - Vyvoj aplikacii'!C17,EXTERNE_POZICIE!$A$4:$C$39,3,0),0)</f>
        <v>62.092825785582257</v>
      </c>
      <c r="F17" s="496">
        <f>IFERROR(VLOOKUP(C17,POZICIE_INTERNE!$A$4:$D$40,3,0)*VLOOKUP(B17,MODULY_CBA!$B$3:$J$23,9,0)/SUM(MODULY_CBA!$J$3:$J$23),)</f>
        <v>7.4611829944547132</v>
      </c>
      <c r="G17" s="502">
        <f>IFERROR(IF(ISTEXT(B17),VLOOKUP(C17,POZICIE_INTERNE!$A$4:$D$40,4,0),),)</f>
        <v>271.92</v>
      </c>
      <c r="H17" s="503">
        <f>IF(ISTEXT(B17),VLOOKUP(C17,EXTERNE_POZICIE!$A$4:$E$39,5,0),)</f>
        <v>438.22645869439629</v>
      </c>
      <c r="I17" s="497">
        <f t="shared" si="0"/>
        <v>2028.8448798521258</v>
      </c>
      <c r="J17" s="497">
        <f t="shared" si="1"/>
        <v>33469.184559842877</v>
      </c>
      <c r="K17" s="497">
        <f t="shared" si="2"/>
        <v>35498.029439695005</v>
      </c>
      <c r="L17" s="557"/>
    </row>
    <row r="18" spans="1:12" ht="15" customHeight="1">
      <c r="A18" s="809" t="s">
        <v>252</v>
      </c>
      <c r="B18" s="556" t="s">
        <v>253</v>
      </c>
      <c r="C18" s="433" t="s">
        <v>1338</v>
      </c>
      <c r="D18" s="556" t="s">
        <v>1415</v>
      </c>
      <c r="E18" s="638">
        <f>IFERROR(VLOOKUP(B18,MODULY_CBA!$B$3:$O$23,14,0)*VLOOKUP('Rozpocet - Vyvoj aplikacii'!C18,EXTERNE_POZICIE!$A$4:$C$39,3,0),0)</f>
        <v>24.901917744916815</v>
      </c>
      <c r="F18" s="496">
        <f>IFERROR(VLOOKUP(C18,POZICIE_INTERNE!$A$4:$D$40,3,0)*VLOOKUP(B18,MODULY_CBA!$B$3:$J$23,9,0)/SUM(MODULY_CBA!$J$3:$J$23),)</f>
        <v>9.780499075785583</v>
      </c>
      <c r="G18" s="502">
        <f>IFERROR(IF(ISTEXT(B18),VLOOKUP(C18,POZICIE_INTERNE!$A$4:$D$40,4,0),),)</f>
        <v>271.92</v>
      </c>
      <c r="H18" s="503">
        <f>IF(ISTEXT(B18),VLOOKUP(C18,EXTERNE_POZICIE!$A$4:$E$39,5,0),)</f>
        <v>503.8642664613015</v>
      </c>
      <c r="I18" s="497">
        <f t="shared" si="0"/>
        <v>2659.5133086876158</v>
      </c>
      <c r="J18" s="497">
        <f t="shared" si="1"/>
        <v>15433.039417167278</v>
      </c>
      <c r="K18" s="497">
        <f t="shared" si="2"/>
        <v>18092.552725854894</v>
      </c>
      <c r="L18" s="557"/>
    </row>
    <row r="19" spans="1:12" ht="15" customHeight="1">
      <c r="A19" s="809"/>
      <c r="B19" s="556" t="s">
        <v>253</v>
      </c>
      <c r="C19" s="433" t="s">
        <v>1351</v>
      </c>
      <c r="D19" s="556" t="s">
        <v>1415</v>
      </c>
      <c r="E19" s="638">
        <f>IFERROR(VLOOKUP(B19,MODULY_CBA!$B$3:$O$23,14,0)*VLOOKUP('Rozpocet - Vyvoj aplikacii'!C19,EXTERNE_POZICIE!$A$4:$C$39,3,0),0)</f>
        <v>45.654314926062845</v>
      </c>
      <c r="F19" s="496">
        <f>IFERROR(VLOOKUP(C19,POZICIE_INTERNE!$A$4:$D$40,3,0)*VLOOKUP(B19,MODULY_CBA!$B$3:$J$23,9,0)/SUM(MODULY_CBA!$J$3:$J$23),)</f>
        <v>10.125693160813309</v>
      </c>
      <c r="G19" s="502">
        <f>IFERROR(IF(ISTEXT(B19),VLOOKUP(C19,POZICIE_INTERNE!$A$4:$D$40,4,0),),)</f>
        <v>271.92</v>
      </c>
      <c r="H19" s="503">
        <f>IF(ISTEXT(B19),VLOOKUP(C19,EXTERNE_POZICIE!$A$4:$E$39,5,0),)</f>
        <v>443.70286164347596</v>
      </c>
      <c r="I19" s="497">
        <f t="shared" si="0"/>
        <v>2753.3784842883551</v>
      </c>
      <c r="J19" s="497">
        <f t="shared" si="1"/>
        <v>24916.048720251845</v>
      </c>
      <c r="K19" s="497">
        <f t="shared" si="2"/>
        <v>27669.427204540199</v>
      </c>
      <c r="L19" s="557"/>
    </row>
    <row r="20" spans="1:12" ht="15" customHeight="1">
      <c r="A20" s="809"/>
      <c r="B20" s="556" t="s">
        <v>253</v>
      </c>
      <c r="C20" s="433" t="s">
        <v>1358</v>
      </c>
      <c r="D20" s="556" t="s">
        <v>1415</v>
      </c>
      <c r="E20" s="638">
        <f>IFERROR(VLOOKUP(B20,MODULY_CBA!$B$3:$O$23,14,0)*VLOOKUP('Rozpocet - Vyvoj aplikacii'!C20,EXTERNE_POZICIE!$A$4:$C$39,3,0),0)</f>
        <v>12.448561691312383</v>
      </c>
      <c r="F20" s="496">
        <f>IFERROR(VLOOKUP(C20,POZICIE_INTERNE!$A$4:$D$40,3,0)*VLOOKUP(B20,MODULY_CBA!$B$3:$J$23,9,0)/SUM(MODULY_CBA!$J$3:$J$23),)</f>
        <v>1.4958410351201479</v>
      </c>
      <c r="G20" s="502">
        <f>IFERROR(IF(ISTEXT(B20),VLOOKUP(C20,POZICIE_INTERNE!$A$4:$D$40,4,0),),)</f>
        <v>271.92</v>
      </c>
      <c r="H20" s="503">
        <f>IF(ISTEXT(B20),VLOOKUP(C20,EXTERNE_POZICIE!$A$4:$E$39,5,0),)</f>
        <v>438.22645869439629</v>
      </c>
      <c r="I20" s="497">
        <f t="shared" si="0"/>
        <v>406.74909426987062</v>
      </c>
      <c r="J20" s="497">
        <f t="shared" si="1"/>
        <v>6710.0056001617359</v>
      </c>
      <c r="K20" s="497">
        <f t="shared" si="2"/>
        <v>7116.7546944316064</v>
      </c>
      <c r="L20" s="557"/>
    </row>
    <row r="21" spans="1:12" ht="15" customHeight="1">
      <c r="A21" s="809" t="s">
        <v>254</v>
      </c>
      <c r="B21" s="556" t="s">
        <v>255</v>
      </c>
      <c r="C21" s="433" t="s">
        <v>1338</v>
      </c>
      <c r="D21" s="556" t="s">
        <v>1415</v>
      </c>
      <c r="E21" s="638">
        <f>IFERROR(VLOOKUP(B21,MODULY_CBA!$B$3:$O$23,14,0)*VLOOKUP('Rozpocet - Vyvoj aplikacii'!C21,EXTERNE_POZICIE!$A$4:$C$39,3,0),0)</f>
        <v>2877.2215804066541</v>
      </c>
      <c r="F21" s="496">
        <f>IFERROR(VLOOKUP(C21,POZICIE_INTERNE!$A$4:$D$40,3,0)*VLOOKUP(B21,MODULY_CBA!$B$3:$J$23,9,0)/SUM(MODULY_CBA!$J$3:$J$23),)</f>
        <v>1130.0600739371534</v>
      </c>
      <c r="G21" s="502">
        <f>IFERROR(IF(ISTEXT(B21),VLOOKUP(C21,POZICIE_INTERNE!$A$4:$D$40,4,0),),)</f>
        <v>271.92</v>
      </c>
      <c r="H21" s="503">
        <f>IF(ISTEXT(B21),VLOOKUP(C21,EXTERNE_POZICIE!$A$4:$E$39,5,0),)</f>
        <v>503.8642664613015</v>
      </c>
      <c r="I21" s="497">
        <f t="shared" si="0"/>
        <v>307285.93530499079</v>
      </c>
      <c r="J21" s="497">
        <f t="shared" si="1"/>
        <v>1783166.8435016172</v>
      </c>
      <c r="K21" s="497">
        <f t="shared" si="2"/>
        <v>2090452.7788066079</v>
      </c>
      <c r="L21" s="557"/>
    </row>
    <row r="22" spans="1:12" ht="15" customHeight="1">
      <c r="A22" s="809"/>
      <c r="B22" s="556" t="s">
        <v>255</v>
      </c>
      <c r="C22" s="433" t="s">
        <v>1351</v>
      </c>
      <c r="D22" s="556" t="s">
        <v>1415</v>
      </c>
      <c r="E22" s="638">
        <f>IFERROR(VLOOKUP(B22,MODULY_CBA!$B$3:$O$23,14,0)*VLOOKUP('Rozpocet - Vyvoj aplikacii'!C22,EXTERNE_POZICIE!$A$4:$C$39,3,0),0)</f>
        <v>5274.9985559149727</v>
      </c>
      <c r="F22" s="496">
        <f>IFERROR(VLOOKUP(C22,POZICIE_INTERNE!$A$4:$D$40,3,0)*VLOOKUP(B22,MODULY_CBA!$B$3:$J$23,9,0)/SUM(MODULY_CBA!$J$3:$J$23),)</f>
        <v>1169.9445471349352</v>
      </c>
      <c r="G22" s="502">
        <f>IFERROR(IF(ISTEXT(B22),VLOOKUP(C22,POZICIE_INTERNE!$A$4:$D$40,4,0),),)</f>
        <v>271.92</v>
      </c>
      <c r="H22" s="503">
        <f>IF(ISTEXT(B22),VLOOKUP(C22,EXTERNE_POZICIE!$A$4:$E$39,5,0),)</f>
        <v>443.70286164347596</v>
      </c>
      <c r="I22" s="497">
        <f t="shared" si="0"/>
        <v>318131.32125693158</v>
      </c>
      <c r="J22" s="497">
        <f t="shared" si="1"/>
        <v>2878854.3039423521</v>
      </c>
      <c r="K22" s="497">
        <f t="shared" si="2"/>
        <v>3196985.6251992835</v>
      </c>
      <c r="L22" s="557"/>
    </row>
    <row r="23" spans="1:12">
      <c r="A23" s="809"/>
      <c r="B23" s="556" t="s">
        <v>255</v>
      </c>
      <c r="C23" s="433" t="s">
        <v>1358</v>
      </c>
      <c r="D23" s="556" t="s">
        <v>1415</v>
      </c>
      <c r="E23" s="638">
        <f>IFERROR(VLOOKUP(B23,MODULY_CBA!$B$3:$O$23,14,0)*VLOOKUP('Rozpocet - Vyvoj aplikacii'!C23,EXTERNE_POZICIE!$A$4:$C$39,3,0),0)</f>
        <v>1438.3338146950093</v>
      </c>
      <c r="F23" s="496">
        <f>IFERROR(VLOOKUP(C23,POZICIE_INTERNE!$A$4:$D$40,3,0)*VLOOKUP(B23,MODULY_CBA!$B$3:$J$23,9,0)/SUM(MODULY_CBA!$J$3:$J$23),)</f>
        <v>172.83271719038817</v>
      </c>
      <c r="G23" s="502">
        <f>IFERROR(IF(ISTEXT(B23),VLOOKUP(C23,POZICIE_INTERNE!$A$4:$D$40,4,0),),)</f>
        <v>271.92</v>
      </c>
      <c r="H23" s="503">
        <f>IF(ISTEXT(B23),VLOOKUP(C23,EXTERNE_POZICIE!$A$4:$E$39,5,0),)</f>
        <v>438.22645869439629</v>
      </c>
      <c r="I23" s="497">
        <f t="shared" si="0"/>
        <v>46996.67245841035</v>
      </c>
      <c r="J23" s="497">
        <f t="shared" si="1"/>
        <v>775288.59886206104</v>
      </c>
      <c r="K23" s="497">
        <f t="shared" ref="K23:K65" si="3">J23+I23</f>
        <v>822285.27132047142</v>
      </c>
      <c r="L23" s="557"/>
    </row>
    <row r="24" spans="1:12">
      <c r="A24" s="809" t="s">
        <v>257</v>
      </c>
      <c r="B24" s="556" t="s">
        <v>258</v>
      </c>
      <c r="C24" s="433" t="s">
        <v>1338</v>
      </c>
      <c r="D24" s="556" t="s">
        <v>1415</v>
      </c>
      <c r="E24" s="638">
        <f>IFERROR(VLOOKUP(B24,MODULY_CBA!$B$3:$O$23,14,0)*VLOOKUP('Rozpocet - Vyvoj aplikacii'!C24,EXTERNE_POZICIE!$A$4:$C$39,3,0),0)</f>
        <v>577.2444547134935</v>
      </c>
      <c r="F24" s="496">
        <f>IFERROR(VLOOKUP(C24,POZICIE_INTERNE!$A$4:$D$40,3,0)*VLOOKUP(B24,MODULY_CBA!$B$3:$J$23,9,0)/SUM(MODULY_CBA!$J$3:$J$23),)</f>
        <v>226.71903881700555</v>
      </c>
      <c r="G24" s="502">
        <f>IFERROR(IF(ISTEXT(B24),VLOOKUP(C24,POZICIE_INTERNE!$A$4:$D$40,4,0),),)</f>
        <v>271.92</v>
      </c>
      <c r="H24" s="503">
        <f>IF(ISTEXT(B24),VLOOKUP(C24,EXTERNE_POZICIE!$A$4:$E$39,5,0),)</f>
        <v>503.8642664613015</v>
      </c>
      <c r="I24" s="497">
        <f t="shared" si="0"/>
        <v>61649.441035120151</v>
      </c>
      <c r="J24" s="497">
        <f t="shared" si="1"/>
        <v>357749.01010397408</v>
      </c>
      <c r="K24" s="497">
        <f t="shared" si="3"/>
        <v>419398.45113909425</v>
      </c>
      <c r="L24" s="557"/>
    </row>
    <row r="25" spans="1:12">
      <c r="A25" s="809"/>
      <c r="B25" s="556" t="s">
        <v>258</v>
      </c>
      <c r="C25" s="433" t="s">
        <v>1351</v>
      </c>
      <c r="D25" s="556" t="s">
        <v>1415</v>
      </c>
      <c r="E25" s="638">
        <f>IFERROR(VLOOKUP(B25,MODULY_CBA!$B$3:$O$23,14,0)*VLOOKUP('Rozpocet - Vyvoj aplikacii'!C25,EXTERNE_POZICIE!$A$4:$C$39,3,0),0)</f>
        <v>1058.3000231053604</v>
      </c>
      <c r="F25" s="496">
        <f>IFERROR(VLOOKUP(C25,POZICIE_INTERNE!$A$4:$D$40,3,0)*VLOOKUP(B25,MODULY_CBA!$B$3:$J$23,9,0)/SUM(MODULY_CBA!$J$3:$J$23),)</f>
        <v>234.72088724584103</v>
      </c>
      <c r="G25" s="502">
        <f>IFERROR(IF(ISTEXT(B25),VLOOKUP(C25,POZICIE_INTERNE!$A$4:$D$40,4,0),),)</f>
        <v>271.92</v>
      </c>
      <c r="H25" s="503">
        <f>IF(ISTEXT(B25),VLOOKUP(C25,EXTERNE_POZICIE!$A$4:$E$39,5,0),)</f>
        <v>443.70286164347596</v>
      </c>
      <c r="I25" s="497">
        <f t="shared" si="0"/>
        <v>63825.303659889098</v>
      </c>
      <c r="J25" s="497">
        <f t="shared" si="1"/>
        <v>577572.0209369224</v>
      </c>
      <c r="K25" s="497">
        <f t="shared" si="3"/>
        <v>641397.32459681155</v>
      </c>
      <c r="L25" s="557"/>
    </row>
    <row r="26" spans="1:12">
      <c r="A26" s="810"/>
      <c r="B26" s="556" t="s">
        <v>258</v>
      </c>
      <c r="C26" s="433" t="s">
        <v>1358</v>
      </c>
      <c r="D26" s="556" t="s">
        <v>1415</v>
      </c>
      <c r="E26" s="638">
        <f>IFERROR(VLOOKUP(B26,MODULY_CBA!$B$3:$O$23,14,0)*VLOOKUP('Rozpocet - Vyvoj aplikacii'!C26,EXTERNE_POZICIE!$A$4:$C$39,3,0),0)</f>
        <v>288.56665896487982</v>
      </c>
      <c r="F26" s="496">
        <f>IFERROR(VLOOKUP(C26,POZICIE_INTERNE!$A$4:$D$40,3,0)*VLOOKUP(B26,MODULY_CBA!$B$3:$J$23,9,0)/SUM(MODULY_CBA!$J$3:$J$23),)</f>
        <v>34.674676524953789</v>
      </c>
      <c r="G26" s="502">
        <f>IFERROR(IF(ISTEXT(B26),VLOOKUP(C26,POZICIE_INTERNE!$A$4:$D$40,4,0),),)</f>
        <v>271.92</v>
      </c>
      <c r="H26" s="503">
        <f>IF(ISTEXT(B26),VLOOKUP(C26,EXTERNE_POZICIE!$A$4:$E$39,5,0),)</f>
        <v>438.22645869439629</v>
      </c>
      <c r="I26" s="497">
        <f t="shared" si="0"/>
        <v>9428.7380406654356</v>
      </c>
      <c r="J26" s="497">
        <f t="shared" si="1"/>
        <v>155542.780418207</v>
      </c>
      <c r="K26" s="497">
        <f t="shared" si="3"/>
        <v>164971.51845887242</v>
      </c>
      <c r="L26" s="557"/>
    </row>
    <row r="27" spans="1:12">
      <c r="A27" s="811" t="s">
        <v>259</v>
      </c>
      <c r="B27" s="556" t="s">
        <v>260</v>
      </c>
      <c r="C27" s="433" t="s">
        <v>1338</v>
      </c>
      <c r="D27" s="556" t="s">
        <v>1415</v>
      </c>
      <c r="E27" s="638">
        <f>IFERROR(VLOOKUP(B27,MODULY_CBA!$B$3:$O$23,14,0)*VLOOKUP('Rozpocet - Vyvoj aplikacii'!C27,EXTERNE_POZICIE!$A$4:$C$39,3,0),0)</f>
        <v>285.62199630314234</v>
      </c>
      <c r="F27" s="496">
        <f>IFERROR(VLOOKUP(C27,POZICIE_INTERNE!$A$4:$D$40,3,0)*VLOOKUP(B27,MODULY_CBA!$B$3:$J$23,9,0)/SUM(MODULY_CBA!$J$3:$J$23),)</f>
        <v>112.18114602587801</v>
      </c>
      <c r="G27" s="502">
        <f>IFERROR(IF(ISTEXT(B27),VLOOKUP(C27,POZICIE_INTERNE!$A$4:$D$40,4,0),),)</f>
        <v>271.92</v>
      </c>
      <c r="H27" s="503">
        <f>IF(ISTEXT(B27),VLOOKUP(C27,EXTERNE_POZICIE!$A$4:$E$39,5,0),)</f>
        <v>503.8642664613015</v>
      </c>
      <c r="I27" s="497">
        <f t="shared" si="0"/>
        <v>30504.29722735675</v>
      </c>
      <c r="J27" s="497">
        <f t="shared" si="1"/>
        <v>177015.10271256929</v>
      </c>
      <c r="K27" s="497">
        <f t="shared" si="3"/>
        <v>207519.39993992605</v>
      </c>
      <c r="L27" s="557"/>
    </row>
    <row r="28" spans="1:12">
      <c r="A28" s="809"/>
      <c r="B28" s="556" t="s">
        <v>260</v>
      </c>
      <c r="C28" s="433" t="s">
        <v>1351</v>
      </c>
      <c r="D28" s="556" t="s">
        <v>1415</v>
      </c>
      <c r="E28" s="638">
        <f>IFERROR(VLOOKUP(B28,MODULY_CBA!$B$3:$O$23,14,0)*VLOOKUP('Rozpocet - Vyvoj aplikacii'!C28,EXTERNE_POZICIE!$A$4:$C$39,3,0),0)</f>
        <v>523.64949168207022</v>
      </c>
      <c r="F28" s="496">
        <f>IFERROR(VLOOKUP(C28,POZICIE_INTERNE!$A$4:$D$40,3,0)*VLOOKUP(B28,MODULY_CBA!$B$3:$J$23,9,0)/SUM(MODULY_CBA!$J$3:$J$23),)</f>
        <v>116.14048059149722</v>
      </c>
      <c r="G28" s="502">
        <f>IFERROR(IF(ISTEXT(B28),VLOOKUP(C28,POZICIE_INTERNE!$A$4:$D$40,4,0),),)</f>
        <v>271.92</v>
      </c>
      <c r="H28" s="503">
        <f>IF(ISTEXT(B28),VLOOKUP(C28,EXTERNE_POZICIE!$A$4:$E$39,5,0),)</f>
        <v>443.70286164347596</v>
      </c>
      <c r="I28" s="497">
        <f t="shared" si="0"/>
        <v>31580.919482439927</v>
      </c>
      <c r="J28" s="497">
        <f t="shared" si="1"/>
        <v>285784.07688770792</v>
      </c>
      <c r="K28" s="497">
        <f t="shared" si="3"/>
        <v>317364.99637014786</v>
      </c>
      <c r="L28" s="557"/>
    </row>
    <row r="29" spans="1:12">
      <c r="A29" s="809"/>
      <c r="B29" s="556" t="s">
        <v>260</v>
      </c>
      <c r="C29" s="433" t="s">
        <v>1358</v>
      </c>
      <c r="D29" s="556" t="s">
        <v>1415</v>
      </c>
      <c r="E29" s="638">
        <f>IFERROR(VLOOKUP(B29,MODULY_CBA!$B$3:$O$23,14,0)*VLOOKUP('Rozpocet - Vyvoj aplikacii'!C29,EXTERNE_POZICIE!$A$4:$C$39,3,0),0)</f>
        <v>142.78350277264326</v>
      </c>
      <c r="F29" s="496">
        <f>IFERROR(VLOOKUP(C29,POZICIE_INTERNE!$A$4:$D$40,3,0)*VLOOKUP(B29,MODULY_CBA!$B$3:$J$23,9,0)/SUM(MODULY_CBA!$J$3:$J$23),)</f>
        <v>17.157116451016638</v>
      </c>
      <c r="G29" s="502">
        <f>IFERROR(IF(ISTEXT(B29),VLOOKUP(C29,POZICIE_INTERNE!$A$4:$D$40,4,0),),)</f>
        <v>271.92</v>
      </c>
      <c r="H29" s="503">
        <f>IF(ISTEXT(B29),VLOOKUP(C29,EXTERNE_POZICIE!$A$4:$E$39,5,0),)</f>
        <v>438.22645869439629</v>
      </c>
      <c r="I29" s="497">
        <f t="shared" si="0"/>
        <v>4665.363105360444</v>
      </c>
      <c r="J29" s="497">
        <f t="shared" si="1"/>
        <v>76962.955799445466</v>
      </c>
      <c r="K29" s="497">
        <f t="shared" si="3"/>
        <v>81628.318904805914</v>
      </c>
      <c r="L29" s="557"/>
    </row>
    <row r="30" spans="1:12">
      <c r="A30" s="809" t="s">
        <v>261</v>
      </c>
      <c r="B30" s="556" t="s">
        <v>262</v>
      </c>
      <c r="C30" s="433" t="s">
        <v>1338</v>
      </c>
      <c r="D30" s="556" t="s">
        <v>1415</v>
      </c>
      <c r="E30" s="638">
        <f>IFERROR(VLOOKUP(B30,MODULY_CBA!$B$3:$O$23,14,0)*VLOOKUP('Rozpocet - Vyvoj aplikacii'!C30,EXTERNE_POZICIE!$A$4:$C$39,3,0),0)</f>
        <v>2343.4804759704248</v>
      </c>
      <c r="F30" s="496">
        <f>IFERROR(VLOOKUP(C30,POZICIE_INTERNE!$A$4:$D$40,3,0)*VLOOKUP(B30,MODULY_CBA!$B$3:$J$23,9,0)/SUM(MODULY_CBA!$J$3:$J$23),)</f>
        <v>920.42744916820698</v>
      </c>
      <c r="G30" s="502">
        <f>IFERROR(IF(ISTEXT(B30),VLOOKUP(C30,POZICIE_INTERNE!$A$4:$D$40,4,0),),)</f>
        <v>271.92</v>
      </c>
      <c r="H30" s="503">
        <f>IF(ISTEXT(B30),VLOOKUP(C30,EXTERNE_POZICIE!$A$4:$E$39,5,0),)</f>
        <v>503.8642664613015</v>
      </c>
      <c r="I30" s="497">
        <f t="shared" si="0"/>
        <v>250282.63197781885</v>
      </c>
      <c r="J30" s="497">
        <f t="shared" si="1"/>
        <v>1452379.1673192002</v>
      </c>
      <c r="K30" s="497">
        <f t="shared" si="3"/>
        <v>1702661.7992970191</v>
      </c>
      <c r="L30" s="557"/>
    </row>
    <row r="31" spans="1:12">
      <c r="A31" s="809"/>
      <c r="B31" s="556" t="s">
        <v>262</v>
      </c>
      <c r="C31" s="433" t="s">
        <v>1351</v>
      </c>
      <c r="D31" s="556" t="s">
        <v>1415</v>
      </c>
      <c r="E31" s="638">
        <f>IFERROR(VLOOKUP(B31,MODULY_CBA!$B$3:$O$23,14,0)*VLOOKUP('Rozpocet - Vyvoj aplikacii'!C31,EXTERNE_POZICIE!$A$4:$C$39,3,0),0)</f>
        <v>4296.4560709334564</v>
      </c>
      <c r="F31" s="496">
        <f>IFERROR(VLOOKUP(C31,POZICIE_INTERNE!$A$4:$D$40,3,0)*VLOOKUP(B31,MODULY_CBA!$B$3:$J$23,9,0)/SUM(MODULY_CBA!$J$3:$J$23),)</f>
        <v>952.91312384473201</v>
      </c>
      <c r="G31" s="502">
        <f>IFERROR(IF(ISTEXT(B31),VLOOKUP(C31,POZICIE_INTERNE!$A$4:$D$40,4,0),),)</f>
        <v>271.92</v>
      </c>
      <c r="H31" s="503">
        <f>IF(ISTEXT(B31),VLOOKUP(C31,EXTERNE_POZICIE!$A$4:$E$39,5,0),)</f>
        <v>443.70286164347596</v>
      </c>
      <c r="I31" s="497">
        <f t="shared" si="0"/>
        <v>259116.13663585956</v>
      </c>
      <c r="J31" s="497">
        <f t="shared" si="1"/>
        <v>2344810.3199263513</v>
      </c>
      <c r="K31" s="497">
        <f t="shared" si="3"/>
        <v>2603926.4565622108</v>
      </c>
      <c r="L31" s="557"/>
    </row>
    <row r="32" spans="1:12">
      <c r="A32" s="809"/>
      <c r="B32" s="556" t="s">
        <v>262</v>
      </c>
      <c r="C32" s="433" t="s">
        <v>1358</v>
      </c>
      <c r="D32" s="556" t="s">
        <v>1415</v>
      </c>
      <c r="E32" s="638">
        <f>IFERROR(VLOOKUP(B32,MODULY_CBA!$B$3:$O$23,14,0)*VLOOKUP('Rozpocet - Vyvoj aplikacii'!C32,EXTERNE_POZICIE!$A$4:$C$39,3,0),0)</f>
        <v>1171.514643022181</v>
      </c>
      <c r="F32" s="496">
        <f>IFERROR(VLOOKUP(C32,POZICIE_INTERNE!$A$4:$D$40,3,0)*VLOOKUP(B32,MODULY_CBA!$B$3:$J$23,9,0)/SUM(MODULY_CBA!$J$3:$J$23),)</f>
        <v>140.77125693160812</v>
      </c>
      <c r="G32" s="502">
        <f>IFERROR(IF(ISTEXT(B32),VLOOKUP(C32,POZICIE_INTERNE!$A$4:$D$40,4,0),),)</f>
        <v>271.92</v>
      </c>
      <c r="H32" s="503">
        <f>IF(ISTEXT(B32),VLOOKUP(C32,EXTERNE_POZICIE!$A$4:$E$39,5,0),)</f>
        <v>438.22645869439629</v>
      </c>
      <c r="I32" s="497">
        <f t="shared" si="0"/>
        <v>38278.520184842884</v>
      </c>
      <c r="J32" s="497">
        <f t="shared" si="1"/>
        <v>631468.11738389544</v>
      </c>
      <c r="K32" s="497">
        <f t="shared" si="3"/>
        <v>669746.63756873831</v>
      </c>
      <c r="L32" s="557"/>
    </row>
    <row r="33" spans="1:12">
      <c r="A33" s="809" t="s">
        <v>264</v>
      </c>
      <c r="B33" s="556" t="s">
        <v>265</v>
      </c>
      <c r="C33" s="433" t="s">
        <v>1338</v>
      </c>
      <c r="D33" s="556" t="s">
        <v>1415</v>
      </c>
      <c r="E33" s="638">
        <f>IFERROR(VLOOKUP(B33,MODULY_CBA!$B$3:$O$23,14,0)*VLOOKUP('Rozpocet - Vyvoj aplikacii'!C33,EXTERNE_POZICIE!$A$4:$C$39,3,0),0)</f>
        <v>2029.6563077634009</v>
      </c>
      <c r="F33" s="496">
        <f>IFERROR(VLOOKUP(C33,POZICIE_INTERNE!$A$4:$D$40,3,0)*VLOOKUP(B33,MODULY_CBA!$B$3:$J$23,9,0)/SUM(MODULY_CBA!$J$3:$J$23),)</f>
        <v>797.16959334565615</v>
      </c>
      <c r="G33" s="502">
        <f>IFERROR(IF(ISTEXT(B33),VLOOKUP(C33,POZICIE_INTERNE!$A$4:$D$40,4,0),),)</f>
        <v>271.92</v>
      </c>
      <c r="H33" s="503">
        <f>IF(ISTEXT(B33),VLOOKUP(C33,EXTERNE_POZICIE!$A$4:$E$39,5,0),)</f>
        <v>503.8642664613015</v>
      </c>
      <c r="I33" s="497">
        <f t="shared" si="0"/>
        <v>216766.35582255083</v>
      </c>
      <c r="J33" s="497">
        <f t="shared" si="1"/>
        <v>1257885.6826161044</v>
      </c>
      <c r="K33" s="497">
        <f t="shared" si="3"/>
        <v>1474652.0384386552</v>
      </c>
      <c r="L33" s="557"/>
    </row>
    <row r="34" spans="1:12">
      <c r="A34" s="809"/>
      <c r="B34" s="556" t="s">
        <v>265</v>
      </c>
      <c r="C34" s="433" t="s">
        <v>1351</v>
      </c>
      <c r="D34" s="556" t="s">
        <v>1415</v>
      </c>
      <c r="E34" s="638">
        <f>IFERROR(VLOOKUP(B34,MODULY_CBA!$B$3:$O$23,14,0)*VLOOKUP('Rozpocet - Vyvoj aplikacii'!C34,EXTERNE_POZICIE!$A$4:$C$39,3,0),0)</f>
        <v>3721.1016924676524</v>
      </c>
      <c r="F34" s="496">
        <f>IFERROR(VLOOKUP(C34,POZICIE_INTERNE!$A$4:$D$40,3,0)*VLOOKUP(B34,MODULY_CBA!$B$3:$J$23,9,0)/SUM(MODULY_CBA!$J$3:$J$23),)</f>
        <v>825.30499075785588</v>
      </c>
      <c r="G34" s="502">
        <f>IFERROR(IF(ISTEXT(B34),VLOOKUP(C34,POZICIE_INTERNE!$A$4:$D$40,4,0),),)</f>
        <v>271.92</v>
      </c>
      <c r="H34" s="503">
        <f>IF(ISTEXT(B34),VLOOKUP(C34,EXTERNE_POZICIE!$A$4:$E$39,5,0),)</f>
        <v>443.70286164347596</v>
      </c>
      <c r="I34" s="497">
        <f t="shared" si="0"/>
        <v>224416.93308687618</v>
      </c>
      <c r="J34" s="497">
        <f t="shared" si="1"/>
        <v>2030808.0673795629</v>
      </c>
      <c r="K34" s="497">
        <f t="shared" si="3"/>
        <v>2255225.0004664389</v>
      </c>
      <c r="L34" s="557"/>
    </row>
    <row r="35" spans="1:12">
      <c r="A35" s="809"/>
      <c r="B35" s="556" t="s">
        <v>265</v>
      </c>
      <c r="C35" s="433" t="s">
        <v>1358</v>
      </c>
      <c r="D35" s="556" t="s">
        <v>1415</v>
      </c>
      <c r="E35" s="638">
        <f>IFERROR(VLOOKUP(B35,MODULY_CBA!$B$3:$O$23,14,0)*VLOOKUP('Rozpocet - Vyvoj aplikacii'!C35,EXTERNE_POZICIE!$A$4:$C$39,3,0),0)</f>
        <v>1014.6327691774491</v>
      </c>
      <c r="F35" s="496">
        <f>IFERROR(VLOOKUP(C35,POZICIE_INTERNE!$A$4:$D$40,3,0)*VLOOKUP(B35,MODULY_CBA!$B$3:$J$23,9,0)/SUM(MODULY_CBA!$J$3:$J$23),)</f>
        <v>121.92005545286507</v>
      </c>
      <c r="G35" s="502">
        <f>IFERROR(IF(ISTEXT(B35),VLOOKUP(C35,POZICIE_INTERNE!$A$4:$D$40,4,0),),)</f>
        <v>271.92</v>
      </c>
      <c r="H35" s="503">
        <f>IF(ISTEXT(B35),VLOOKUP(C35,EXTERNE_POZICIE!$A$4:$E$39,5,0),)</f>
        <v>438.22645869439629</v>
      </c>
      <c r="I35" s="497">
        <f t="shared" si="0"/>
        <v>33152.50147874307</v>
      </c>
      <c r="J35" s="497">
        <f t="shared" si="1"/>
        <v>546905.87813366449</v>
      </c>
      <c r="K35" s="497">
        <f t="shared" si="3"/>
        <v>580058.37961240753</v>
      </c>
      <c r="L35" s="557"/>
    </row>
    <row r="36" spans="1:12">
      <c r="A36" s="809" t="s">
        <v>267</v>
      </c>
      <c r="B36" s="556"/>
      <c r="C36" s="433" t="s">
        <v>1338</v>
      </c>
      <c r="D36" s="556"/>
      <c r="E36" s="638">
        <f>IFERROR(VLOOKUP(B36,MODULY_CBA!$B$3:$O$23,14,0)*VLOOKUP('Rozpocet - Vyvoj aplikacii'!C36,EXTERNE_POZICIE!$A$4:$C$39,3,0),0)</f>
        <v>0</v>
      </c>
      <c r="F36" s="496">
        <f>IFERROR(VLOOKUP(C36,POZICIE_INTERNE!$A$4:$D$40,3,0)*VLOOKUP(B36,MODULY_CBA!$B$3:$J$23,9,0)/SUM(MODULY_CBA!$J$3:$J$23),)</f>
        <v>0</v>
      </c>
      <c r="G36" s="502">
        <f>IFERROR(IF(ISTEXT(B36),VLOOKUP(C36,POZICIE_INTERNE!$A$4:$D$40,4,0),),)</f>
        <v>0</v>
      </c>
      <c r="H36" s="503">
        <f>IF(ISTEXT(B36),VLOOKUP(C36,EXTERNE_POZICIE!$A$4:$E$39,5,0),)</f>
        <v>0</v>
      </c>
      <c r="I36" s="497">
        <f t="shared" si="0"/>
        <v>0</v>
      </c>
      <c r="J36" s="497">
        <f t="shared" si="1"/>
        <v>0</v>
      </c>
      <c r="K36" s="497">
        <f t="shared" si="3"/>
        <v>0</v>
      </c>
      <c r="L36" s="557"/>
    </row>
    <row r="37" spans="1:12">
      <c r="A37" s="809"/>
      <c r="B37" s="556"/>
      <c r="C37" s="433" t="s">
        <v>1351</v>
      </c>
      <c r="D37" s="556"/>
      <c r="E37" s="638">
        <f>IFERROR(VLOOKUP(B37,MODULY_CBA!$B$3:$O$23,14,0)*VLOOKUP('Rozpocet - Vyvoj aplikacii'!C37,EXTERNE_POZICIE!$A$4:$C$39,3,0),0)</f>
        <v>0</v>
      </c>
      <c r="F37" s="496">
        <f>IFERROR(VLOOKUP(C37,POZICIE_INTERNE!$A$4:$D$40,3,0)*VLOOKUP(B37,MODULY_CBA!$B$3:$J$23,9,0)/SUM(MODULY_CBA!$J$3:$J$23),)</f>
        <v>0</v>
      </c>
      <c r="G37" s="502">
        <f>IFERROR(IF(ISTEXT(B37),VLOOKUP(C37,POZICIE_INTERNE!$A$4:$D$40,4,0),),)</f>
        <v>0</v>
      </c>
      <c r="H37" s="503">
        <f>IF(ISTEXT(B37),VLOOKUP(C37,EXTERNE_POZICIE!$A$4:$E$39,5,0),)</f>
        <v>0</v>
      </c>
      <c r="I37" s="497">
        <f t="shared" si="0"/>
        <v>0</v>
      </c>
      <c r="J37" s="497">
        <f t="shared" si="1"/>
        <v>0</v>
      </c>
      <c r="K37" s="497">
        <f t="shared" si="3"/>
        <v>0</v>
      </c>
      <c r="L37" s="557"/>
    </row>
    <row r="38" spans="1:12">
      <c r="A38" s="810"/>
      <c r="B38" s="556"/>
      <c r="C38" s="433" t="s">
        <v>1358</v>
      </c>
      <c r="D38" s="556"/>
      <c r="E38" s="638">
        <f>IFERROR(VLOOKUP(B38,MODULY_CBA!$B$3:$O$23,14,0)*VLOOKUP('Rozpocet - Vyvoj aplikacii'!C38,EXTERNE_POZICIE!$A$4:$C$39,3,0),0)</f>
        <v>0</v>
      </c>
      <c r="F38" s="496">
        <f>IFERROR(VLOOKUP(C38,POZICIE_INTERNE!$A$4:$D$40,3,0)*VLOOKUP(B38,MODULY_CBA!$B$3:$J$23,9,0)/SUM(MODULY_CBA!$J$3:$J$23),)</f>
        <v>0</v>
      </c>
      <c r="G38" s="502">
        <f>IFERROR(IF(ISTEXT(B38),VLOOKUP(C38,POZICIE_INTERNE!$A$4:$D$40,4,0),),)</f>
        <v>0</v>
      </c>
      <c r="H38" s="503">
        <f>IF(ISTEXT(B38),VLOOKUP(C38,EXTERNE_POZICIE!$A$4:$E$39,5,0),)</f>
        <v>0</v>
      </c>
      <c r="I38" s="497">
        <f t="shared" si="0"/>
        <v>0</v>
      </c>
      <c r="J38" s="497">
        <f t="shared" si="1"/>
        <v>0</v>
      </c>
      <c r="K38" s="497">
        <f t="shared" si="3"/>
        <v>0</v>
      </c>
      <c r="L38" s="557"/>
    </row>
    <row r="39" spans="1:12">
      <c r="A39" s="811" t="s">
        <v>268</v>
      </c>
      <c r="B39" s="556"/>
      <c r="C39" s="433" t="s">
        <v>1338</v>
      </c>
      <c r="D39" s="556"/>
      <c r="E39" s="638">
        <f>IFERROR(VLOOKUP(B39,MODULY_CBA!$B$3:$O$23,14,0)*VLOOKUP('Rozpocet - Vyvoj aplikacii'!C39,EXTERNE_POZICIE!$A$4:$C$39,3,0),0)</f>
        <v>0</v>
      </c>
      <c r="F39" s="496">
        <f>IFERROR(VLOOKUP(C39,POZICIE_INTERNE!$A$4:$D$40,3,0)*VLOOKUP(B39,MODULY_CBA!$B$3:$J$23,9,0)/SUM(MODULY_CBA!$J$3:$J$23),)</f>
        <v>0</v>
      </c>
      <c r="G39" s="502">
        <f>IFERROR(IF(ISTEXT(B39),VLOOKUP(C39,POZICIE_INTERNE!$A$4:$D$40,4,0),),)</f>
        <v>0</v>
      </c>
      <c r="H39" s="503">
        <f>IF(ISTEXT(B39),VLOOKUP(C39,EXTERNE_POZICIE!$A$4:$E$39,5,0),)</f>
        <v>0</v>
      </c>
      <c r="I39" s="497">
        <f t="shared" si="0"/>
        <v>0</v>
      </c>
      <c r="J39" s="497">
        <f t="shared" si="1"/>
        <v>0</v>
      </c>
      <c r="K39" s="497">
        <f t="shared" si="3"/>
        <v>0</v>
      </c>
      <c r="L39" s="557"/>
    </row>
    <row r="40" spans="1:12">
      <c r="A40" s="809"/>
      <c r="B40" s="556"/>
      <c r="C40" s="433" t="s">
        <v>1351</v>
      </c>
      <c r="D40" s="556"/>
      <c r="E40" s="638">
        <f>IFERROR(VLOOKUP(B40,MODULY_CBA!$B$3:$O$23,14,0)*VLOOKUP('Rozpocet - Vyvoj aplikacii'!C40,EXTERNE_POZICIE!$A$4:$C$39,3,0),0)</f>
        <v>0</v>
      </c>
      <c r="F40" s="496">
        <f>IFERROR(VLOOKUP(C40,POZICIE_INTERNE!$A$4:$D$40,3,0)*VLOOKUP(B40,MODULY_CBA!$B$3:$J$23,9,0)/SUM(MODULY_CBA!$J$3:$J$23),)</f>
        <v>0</v>
      </c>
      <c r="G40" s="502">
        <f>IFERROR(IF(ISTEXT(B40),VLOOKUP(C40,POZICIE_INTERNE!$A$4:$D$40,4,0),),)</f>
        <v>0</v>
      </c>
      <c r="H40" s="503">
        <f>IF(ISTEXT(B40),VLOOKUP(C40,EXTERNE_POZICIE!$A$4:$E$39,5,0),)</f>
        <v>0</v>
      </c>
      <c r="I40" s="497">
        <f t="shared" si="0"/>
        <v>0</v>
      </c>
      <c r="J40" s="497">
        <f t="shared" si="1"/>
        <v>0</v>
      </c>
      <c r="K40" s="497">
        <f t="shared" si="3"/>
        <v>0</v>
      </c>
      <c r="L40" s="557"/>
    </row>
    <row r="41" spans="1:12">
      <c r="A41" s="809"/>
      <c r="B41" s="556"/>
      <c r="C41" s="433" t="s">
        <v>1358</v>
      </c>
      <c r="D41" s="556"/>
      <c r="E41" s="638">
        <f>IFERROR(VLOOKUP(B41,MODULY_CBA!$B$3:$O$23,14,0)*VLOOKUP('Rozpocet - Vyvoj aplikacii'!C41,EXTERNE_POZICIE!$A$4:$C$39,3,0),0)</f>
        <v>0</v>
      </c>
      <c r="F41" s="496">
        <f>IFERROR(VLOOKUP(C41,POZICIE_INTERNE!$A$4:$D$40,3,0)*VLOOKUP(B41,MODULY_CBA!$B$3:$J$23,9,0)/SUM(MODULY_CBA!$J$3:$J$23),)</f>
        <v>0</v>
      </c>
      <c r="G41" s="502">
        <f>IFERROR(IF(ISTEXT(B41),VLOOKUP(C41,POZICIE_INTERNE!$A$4:$D$40,4,0),),)</f>
        <v>0</v>
      </c>
      <c r="H41" s="503">
        <f>IF(ISTEXT(B41),VLOOKUP(C41,EXTERNE_POZICIE!$A$4:$E$39,5,0),)</f>
        <v>0</v>
      </c>
      <c r="I41" s="497">
        <f t="shared" si="0"/>
        <v>0</v>
      </c>
      <c r="J41" s="497">
        <f t="shared" si="1"/>
        <v>0</v>
      </c>
      <c r="K41" s="497">
        <f t="shared" si="3"/>
        <v>0</v>
      </c>
      <c r="L41" s="557"/>
    </row>
    <row r="42" spans="1:12">
      <c r="A42" s="809" t="s">
        <v>269</v>
      </c>
      <c r="B42" s="556"/>
      <c r="C42" s="433" t="s">
        <v>1338</v>
      </c>
      <c r="D42" s="556"/>
      <c r="E42" s="638">
        <f>IFERROR(VLOOKUP(B42,MODULY_CBA!$B$3:$O$23,14,0)*VLOOKUP('Rozpocet - Vyvoj aplikacii'!C42,EXTERNE_POZICIE!$A$4:$C$39,3,0),0)</f>
        <v>0</v>
      </c>
      <c r="F42" s="496">
        <f>IFERROR(VLOOKUP(C42,POZICIE_INTERNE!$A$4:$D$40,3,0)*VLOOKUP(B42,MODULY_CBA!$B$3:$J$23,9,0)/SUM(MODULY_CBA!$J$3:$J$23),)</f>
        <v>0</v>
      </c>
      <c r="G42" s="502">
        <f>IFERROR(IF(ISTEXT(B42),VLOOKUP(C42,POZICIE_INTERNE!$A$4:$D$40,4,0),),)</f>
        <v>0</v>
      </c>
      <c r="H42" s="503">
        <f>IF(ISTEXT(B42),VLOOKUP(C42,EXTERNE_POZICIE!$A$4:$E$39,5,0),)</f>
        <v>0</v>
      </c>
      <c r="I42" s="497">
        <f t="shared" si="0"/>
        <v>0</v>
      </c>
      <c r="J42" s="497">
        <f t="shared" si="1"/>
        <v>0</v>
      </c>
      <c r="K42" s="497">
        <f t="shared" si="3"/>
        <v>0</v>
      </c>
      <c r="L42" s="557"/>
    </row>
    <row r="43" spans="1:12">
      <c r="A43" s="809"/>
      <c r="B43" s="556"/>
      <c r="C43" s="433" t="s">
        <v>1351</v>
      </c>
      <c r="D43" s="556"/>
      <c r="E43" s="638">
        <f>IFERROR(VLOOKUP(B43,MODULY_CBA!$B$3:$O$23,14,0)*VLOOKUP('Rozpocet - Vyvoj aplikacii'!C43,EXTERNE_POZICIE!$A$4:$C$39,3,0),0)</f>
        <v>0</v>
      </c>
      <c r="F43" s="496">
        <f>IFERROR(VLOOKUP(C43,POZICIE_INTERNE!$A$4:$D$40,3,0)*VLOOKUP(B43,MODULY_CBA!$B$3:$J$23,9,0)/SUM(MODULY_CBA!$J$3:$J$23),)</f>
        <v>0</v>
      </c>
      <c r="G43" s="502">
        <f>IFERROR(IF(ISTEXT(B43),VLOOKUP(C43,POZICIE_INTERNE!$A$4:$D$40,4,0),),)</f>
        <v>0</v>
      </c>
      <c r="H43" s="503">
        <f>IF(ISTEXT(B43),VLOOKUP(C43,EXTERNE_POZICIE!$A$4:$E$39,5,0),)</f>
        <v>0</v>
      </c>
      <c r="I43" s="497">
        <f t="shared" si="0"/>
        <v>0</v>
      </c>
      <c r="J43" s="497">
        <f t="shared" si="1"/>
        <v>0</v>
      </c>
      <c r="K43" s="497">
        <f t="shared" si="3"/>
        <v>0</v>
      </c>
      <c r="L43" s="557"/>
    </row>
    <row r="44" spans="1:12">
      <c r="A44" s="809"/>
      <c r="B44" s="556"/>
      <c r="C44" s="433" t="s">
        <v>1358</v>
      </c>
      <c r="D44" s="556"/>
      <c r="E44" s="638">
        <f>IFERROR(VLOOKUP(B44,MODULY_CBA!$B$3:$O$23,14,0)*VLOOKUP('Rozpocet - Vyvoj aplikacii'!C44,EXTERNE_POZICIE!$A$4:$C$39,3,0),0)</f>
        <v>0</v>
      </c>
      <c r="F44" s="496">
        <f>IFERROR(VLOOKUP(C44,POZICIE_INTERNE!$A$4:$D$40,3,0)*VLOOKUP(B44,MODULY_CBA!$B$3:$J$23,9,0)/SUM(MODULY_CBA!$J$3:$J$23),)</f>
        <v>0</v>
      </c>
      <c r="G44" s="502">
        <f>IFERROR(IF(ISTEXT(B44),VLOOKUP(C44,POZICIE_INTERNE!$A$4:$D$40,4,0),),)</f>
        <v>0</v>
      </c>
      <c r="H44" s="503">
        <f>IF(ISTEXT(B44),VLOOKUP(C44,EXTERNE_POZICIE!$A$4:$E$39,5,0),)</f>
        <v>0</v>
      </c>
      <c r="I44" s="497">
        <f t="shared" si="0"/>
        <v>0</v>
      </c>
      <c r="J44" s="497">
        <f t="shared" si="1"/>
        <v>0</v>
      </c>
      <c r="K44" s="497">
        <f t="shared" si="3"/>
        <v>0</v>
      </c>
      <c r="L44" s="557"/>
    </row>
    <row r="45" spans="1:12">
      <c r="A45" s="809" t="s">
        <v>270</v>
      </c>
      <c r="B45" s="556"/>
      <c r="C45" s="433" t="s">
        <v>1338</v>
      </c>
      <c r="D45" s="556"/>
      <c r="E45" s="638">
        <f>IFERROR(VLOOKUP(B45,MODULY_CBA!$B$3:$O$23,14,0)*VLOOKUP('Rozpocet - Vyvoj aplikacii'!C45,EXTERNE_POZICIE!$A$4:$C$39,3,0),0)</f>
        <v>0</v>
      </c>
      <c r="F45" s="496">
        <f>IFERROR(VLOOKUP(C45,POZICIE_INTERNE!$A$4:$D$40,3,0)*VLOOKUP(B45,MODULY_CBA!$B$3:$J$23,9,0)/SUM(MODULY_CBA!$J$3:$J$23),)</f>
        <v>0</v>
      </c>
      <c r="G45" s="502">
        <f>IFERROR(IF(ISTEXT(B45),VLOOKUP(C45,POZICIE_INTERNE!$A$4:$D$40,4,0),),)</f>
        <v>0</v>
      </c>
      <c r="H45" s="503">
        <f>IF(ISTEXT(B45),VLOOKUP(C45,EXTERNE_POZICIE!$A$4:$E$39,5,0),)</f>
        <v>0</v>
      </c>
      <c r="I45" s="497">
        <f t="shared" si="0"/>
        <v>0</v>
      </c>
      <c r="J45" s="497">
        <f t="shared" si="1"/>
        <v>0</v>
      </c>
      <c r="K45" s="497">
        <f t="shared" si="3"/>
        <v>0</v>
      </c>
      <c r="L45" s="557"/>
    </row>
    <row r="46" spans="1:12">
      <c r="A46" s="809"/>
      <c r="B46" s="556"/>
      <c r="C46" s="433" t="s">
        <v>1351</v>
      </c>
      <c r="D46" s="556"/>
      <c r="E46" s="638">
        <f>IFERROR(VLOOKUP(B46,MODULY_CBA!$B$3:$O$23,14,0)*VLOOKUP('Rozpocet - Vyvoj aplikacii'!C46,EXTERNE_POZICIE!$A$4:$C$39,3,0),0)</f>
        <v>0</v>
      </c>
      <c r="F46" s="496">
        <f>IFERROR(VLOOKUP(C46,POZICIE_INTERNE!$A$4:$D$40,3,0)*VLOOKUP(B46,MODULY_CBA!$B$3:$J$23,9,0)/SUM(MODULY_CBA!$J$3:$J$23),)</f>
        <v>0</v>
      </c>
      <c r="G46" s="502">
        <f>IFERROR(IF(ISTEXT(B46),VLOOKUP(C46,POZICIE_INTERNE!$A$4:$D$40,4,0),),)</f>
        <v>0</v>
      </c>
      <c r="H46" s="503">
        <f>IF(ISTEXT(B46),VLOOKUP(C46,EXTERNE_POZICIE!$A$4:$E$39,5,0),)</f>
        <v>0</v>
      </c>
      <c r="I46" s="497">
        <f t="shared" si="0"/>
        <v>0</v>
      </c>
      <c r="J46" s="497">
        <f t="shared" si="1"/>
        <v>0</v>
      </c>
      <c r="K46" s="497">
        <f t="shared" si="3"/>
        <v>0</v>
      </c>
      <c r="L46" s="557"/>
    </row>
    <row r="47" spans="1:12">
      <c r="A47" s="809"/>
      <c r="B47" s="556"/>
      <c r="C47" s="433" t="s">
        <v>1358</v>
      </c>
      <c r="D47" s="556"/>
      <c r="E47" s="638">
        <f>IFERROR(VLOOKUP(B47,MODULY_CBA!$B$3:$O$23,14,0)*VLOOKUP('Rozpocet - Vyvoj aplikacii'!C47,EXTERNE_POZICIE!$A$4:$C$39,3,0),0)</f>
        <v>0</v>
      </c>
      <c r="F47" s="496">
        <f>IFERROR(VLOOKUP(C47,POZICIE_INTERNE!$A$4:$D$40,3,0)*VLOOKUP(B47,MODULY_CBA!$B$3:$J$23,9,0)/SUM(MODULY_CBA!$J$3:$J$23),)</f>
        <v>0</v>
      </c>
      <c r="G47" s="502">
        <f>IFERROR(IF(ISTEXT(B47),VLOOKUP(C47,POZICIE_INTERNE!$A$4:$D$40,4,0),),)</f>
        <v>0</v>
      </c>
      <c r="H47" s="503">
        <f>IF(ISTEXT(B47),VLOOKUP(C47,EXTERNE_POZICIE!$A$4:$E$39,5,0),)</f>
        <v>0</v>
      </c>
      <c r="I47" s="497">
        <f t="shared" si="0"/>
        <v>0</v>
      </c>
      <c r="J47" s="497">
        <f t="shared" si="1"/>
        <v>0</v>
      </c>
      <c r="K47" s="497">
        <f t="shared" si="3"/>
        <v>0</v>
      </c>
      <c r="L47" s="557"/>
    </row>
    <row r="48" spans="1:12">
      <c r="A48" s="809" t="s">
        <v>271</v>
      </c>
      <c r="B48" s="556"/>
      <c r="C48" s="433" t="s">
        <v>1338</v>
      </c>
      <c r="D48" s="556"/>
      <c r="E48" s="638">
        <f>IFERROR(VLOOKUP(B48,MODULY_CBA!$B$3:$O$23,14,0)*VLOOKUP('Rozpocet - Vyvoj aplikacii'!C48,EXTERNE_POZICIE!$A$4:$C$39,3,0),0)</f>
        <v>0</v>
      </c>
      <c r="F48" s="496">
        <f>IFERROR(VLOOKUP(C48,POZICIE_INTERNE!$A$4:$D$40,3,0)*VLOOKUP(B48,MODULY_CBA!$B$3:$J$23,9,0)/SUM(MODULY_CBA!$J$3:$J$23),)</f>
        <v>0</v>
      </c>
      <c r="G48" s="502">
        <f>IFERROR(IF(ISTEXT(B48),VLOOKUP(C48,POZICIE_INTERNE!$A$4:$D$40,4,0),),)</f>
        <v>0</v>
      </c>
      <c r="H48" s="503">
        <f>IF(ISTEXT(B48),VLOOKUP(C48,EXTERNE_POZICIE!$A$4:$E$39,5,0),)</f>
        <v>0</v>
      </c>
      <c r="I48" s="497">
        <f t="shared" si="0"/>
        <v>0</v>
      </c>
      <c r="J48" s="497">
        <f t="shared" si="1"/>
        <v>0</v>
      </c>
      <c r="K48" s="497">
        <f t="shared" si="3"/>
        <v>0</v>
      </c>
      <c r="L48" s="557"/>
    </row>
    <row r="49" spans="1:12">
      <c r="A49" s="809"/>
      <c r="B49" s="556"/>
      <c r="C49" s="433" t="s">
        <v>1351</v>
      </c>
      <c r="D49" s="556"/>
      <c r="E49" s="638">
        <f>IFERROR(VLOOKUP(B49,MODULY_CBA!$B$3:$O$23,14,0)*VLOOKUP('Rozpocet - Vyvoj aplikacii'!C49,EXTERNE_POZICIE!$A$4:$C$39,3,0),0)</f>
        <v>0</v>
      </c>
      <c r="F49" s="496">
        <f>IFERROR(VLOOKUP(C49,POZICIE_INTERNE!$A$4:$D$40,3,0)*VLOOKUP(B49,MODULY_CBA!$B$3:$J$23,9,0)/SUM(MODULY_CBA!$J$3:$J$23),)</f>
        <v>0</v>
      </c>
      <c r="G49" s="502">
        <f>IFERROR(IF(ISTEXT(B49),VLOOKUP(C49,POZICIE_INTERNE!$A$4:$D$40,4,0),),)</f>
        <v>0</v>
      </c>
      <c r="H49" s="503">
        <f>IF(ISTEXT(B49),VLOOKUP(C49,EXTERNE_POZICIE!$A$4:$E$39,5,0),)</f>
        <v>0</v>
      </c>
      <c r="I49" s="497">
        <f t="shared" si="0"/>
        <v>0</v>
      </c>
      <c r="J49" s="497">
        <f t="shared" si="1"/>
        <v>0</v>
      </c>
      <c r="K49" s="497">
        <f t="shared" si="3"/>
        <v>0</v>
      </c>
      <c r="L49" s="557"/>
    </row>
    <row r="50" spans="1:12">
      <c r="A50" s="810"/>
      <c r="B50" s="556"/>
      <c r="C50" s="433" t="s">
        <v>1358</v>
      </c>
      <c r="D50" s="556"/>
      <c r="E50" s="638">
        <f>IFERROR(VLOOKUP(B50,MODULY_CBA!$B$3:$O$23,14,0)*VLOOKUP('Rozpocet - Vyvoj aplikacii'!C50,EXTERNE_POZICIE!$A$4:$C$39,3,0),0)</f>
        <v>0</v>
      </c>
      <c r="F50" s="496">
        <f>IFERROR(VLOOKUP(C50,POZICIE_INTERNE!$A$4:$D$40,3,0)*VLOOKUP(B50,MODULY_CBA!$B$3:$J$23,9,0)/SUM(MODULY_CBA!$J$3:$J$23),)</f>
        <v>0</v>
      </c>
      <c r="G50" s="502">
        <f>IFERROR(IF(ISTEXT(B50),VLOOKUP(C50,POZICIE_INTERNE!$A$4:$D$40,4,0),),)</f>
        <v>0</v>
      </c>
      <c r="H50" s="503">
        <f>IF(ISTEXT(B50),VLOOKUP(C50,EXTERNE_POZICIE!$A$4:$E$39,5,0),)</f>
        <v>0</v>
      </c>
      <c r="I50" s="497">
        <f t="shared" si="0"/>
        <v>0</v>
      </c>
      <c r="J50" s="497">
        <f t="shared" si="1"/>
        <v>0</v>
      </c>
      <c r="K50" s="497">
        <f t="shared" si="3"/>
        <v>0</v>
      </c>
      <c r="L50" s="557"/>
    </row>
    <row r="51" spans="1:12">
      <c r="A51" s="811" t="s">
        <v>272</v>
      </c>
      <c r="B51" s="556"/>
      <c r="C51" s="433" t="s">
        <v>1338</v>
      </c>
      <c r="D51" s="556"/>
      <c r="E51" s="638">
        <f>IFERROR(VLOOKUP(B51,MODULY_CBA!$B$3:$O$23,14,0)*VLOOKUP('Rozpocet - Vyvoj aplikacii'!C51,EXTERNE_POZICIE!$A$4:$C$39,3,0),0)</f>
        <v>0</v>
      </c>
      <c r="F51" s="496">
        <f>IFERROR(VLOOKUP(C51,POZICIE_INTERNE!$A$4:$D$40,3,0)*VLOOKUP(B51,MODULY_CBA!$B$3:$J$23,9,0)/SUM(MODULY_CBA!$J$3:$J$23),)</f>
        <v>0</v>
      </c>
      <c r="G51" s="502">
        <f>IFERROR(IF(ISTEXT(B51),VLOOKUP(C51,POZICIE_INTERNE!$A$4:$D$40,4,0),),)</f>
        <v>0</v>
      </c>
      <c r="H51" s="503">
        <f>IF(ISTEXT(B51),VLOOKUP(C51,EXTERNE_POZICIE!$A$4:$E$39,5,0),)</f>
        <v>0</v>
      </c>
      <c r="I51" s="497">
        <f t="shared" si="0"/>
        <v>0</v>
      </c>
      <c r="J51" s="497">
        <f t="shared" si="1"/>
        <v>0</v>
      </c>
      <c r="K51" s="497">
        <f t="shared" si="3"/>
        <v>0</v>
      </c>
      <c r="L51" s="557"/>
    </row>
    <row r="52" spans="1:12">
      <c r="A52" s="809"/>
      <c r="B52" s="556"/>
      <c r="C52" s="433" t="s">
        <v>1351</v>
      </c>
      <c r="D52" s="556"/>
      <c r="E52" s="638">
        <f>IFERROR(VLOOKUP(B52,MODULY_CBA!$B$3:$O$23,14,0)*VLOOKUP('Rozpocet - Vyvoj aplikacii'!C52,EXTERNE_POZICIE!$A$4:$C$39,3,0),0)</f>
        <v>0</v>
      </c>
      <c r="F52" s="496">
        <f>IFERROR(VLOOKUP(C52,POZICIE_INTERNE!$A$4:$D$40,3,0)*VLOOKUP(B52,MODULY_CBA!$B$3:$J$23,9,0)/SUM(MODULY_CBA!$J$3:$J$23),)</f>
        <v>0</v>
      </c>
      <c r="G52" s="502">
        <f>IFERROR(IF(ISTEXT(B52),VLOOKUP(C52,POZICIE_INTERNE!$A$4:$D$40,4,0),),)</f>
        <v>0</v>
      </c>
      <c r="H52" s="503">
        <f>IF(ISTEXT(B52),VLOOKUP(C52,EXTERNE_POZICIE!$A$4:$E$39,5,0),)</f>
        <v>0</v>
      </c>
      <c r="I52" s="497">
        <f t="shared" si="0"/>
        <v>0</v>
      </c>
      <c r="J52" s="497">
        <f t="shared" si="1"/>
        <v>0</v>
      </c>
      <c r="K52" s="497">
        <f t="shared" si="3"/>
        <v>0</v>
      </c>
      <c r="L52" s="557"/>
    </row>
    <row r="53" spans="1:12">
      <c r="A53" s="809"/>
      <c r="B53" s="556"/>
      <c r="C53" s="433" t="s">
        <v>1358</v>
      </c>
      <c r="D53" s="556"/>
      <c r="E53" s="638">
        <f>IFERROR(VLOOKUP(B53,MODULY_CBA!$B$3:$O$23,14,0)*VLOOKUP('Rozpocet - Vyvoj aplikacii'!C53,EXTERNE_POZICIE!$A$4:$C$39,3,0),0)</f>
        <v>0</v>
      </c>
      <c r="F53" s="496">
        <f>IFERROR(VLOOKUP(C53,POZICIE_INTERNE!$A$4:$D$40,3,0)*VLOOKUP(B53,MODULY_CBA!$B$3:$J$23,9,0)/SUM(MODULY_CBA!$J$3:$J$23),)</f>
        <v>0</v>
      </c>
      <c r="G53" s="502">
        <f>IFERROR(IF(ISTEXT(B53),VLOOKUP(C53,POZICIE_INTERNE!$A$4:$D$40,4,0),),)</f>
        <v>0</v>
      </c>
      <c r="H53" s="503">
        <f>IF(ISTEXT(B53),VLOOKUP(C53,EXTERNE_POZICIE!$A$4:$E$39,5,0),)</f>
        <v>0</v>
      </c>
      <c r="I53" s="497">
        <f t="shared" si="0"/>
        <v>0</v>
      </c>
      <c r="J53" s="497">
        <f t="shared" si="1"/>
        <v>0</v>
      </c>
      <c r="K53" s="497">
        <f t="shared" si="3"/>
        <v>0</v>
      </c>
      <c r="L53" s="557"/>
    </row>
    <row r="54" spans="1:12">
      <c r="A54" s="809" t="s">
        <v>273</v>
      </c>
      <c r="B54" s="556"/>
      <c r="C54" s="433" t="s">
        <v>1338</v>
      </c>
      <c r="D54" s="556"/>
      <c r="E54" s="638">
        <f>IFERROR(VLOOKUP(B54,MODULY_CBA!$B$3:$O$23,14,0)*VLOOKUP('Rozpocet - Vyvoj aplikacii'!C54,EXTERNE_POZICIE!$A$4:$C$39,3,0),0)</f>
        <v>0</v>
      </c>
      <c r="F54" s="496">
        <f>IFERROR(VLOOKUP(C54,POZICIE_INTERNE!$A$4:$D$40,3,0)*VLOOKUP(B54,MODULY_CBA!$B$3:$J$23,9,0)/SUM(MODULY_CBA!$J$3:$J$23),)</f>
        <v>0</v>
      </c>
      <c r="G54" s="502">
        <f>IFERROR(IF(ISTEXT(B54),VLOOKUP(C54,POZICIE_INTERNE!$A$4:$D$40,4,0),),)</f>
        <v>0</v>
      </c>
      <c r="H54" s="503">
        <f>IF(ISTEXT(B54),VLOOKUP(C54,EXTERNE_POZICIE!$A$4:$E$39,5,0),)</f>
        <v>0</v>
      </c>
      <c r="I54" s="497">
        <f t="shared" si="0"/>
        <v>0</v>
      </c>
      <c r="J54" s="497">
        <f t="shared" si="1"/>
        <v>0</v>
      </c>
      <c r="K54" s="497">
        <f t="shared" si="3"/>
        <v>0</v>
      </c>
      <c r="L54" s="557"/>
    </row>
    <row r="55" spans="1:12">
      <c r="A55" s="809"/>
      <c r="B55" s="556"/>
      <c r="C55" s="433" t="s">
        <v>1351</v>
      </c>
      <c r="D55" s="556"/>
      <c r="E55" s="638">
        <f>IFERROR(VLOOKUP(B55,MODULY_CBA!$B$3:$O$23,14,0)*VLOOKUP('Rozpocet - Vyvoj aplikacii'!C55,EXTERNE_POZICIE!$A$4:$C$39,3,0),0)</f>
        <v>0</v>
      </c>
      <c r="F55" s="496">
        <f>IFERROR(VLOOKUP(C55,POZICIE_INTERNE!$A$4:$D$40,3,0)*VLOOKUP(B55,MODULY_CBA!$B$3:$J$23,9,0)/SUM(MODULY_CBA!$J$3:$J$23),)</f>
        <v>0</v>
      </c>
      <c r="G55" s="502">
        <f>IFERROR(IF(ISTEXT(B55),VLOOKUP(C55,POZICIE_INTERNE!$A$4:$D$40,4,0),),)</f>
        <v>0</v>
      </c>
      <c r="H55" s="503">
        <f>IF(ISTEXT(B55),VLOOKUP(C55,EXTERNE_POZICIE!$A$4:$E$39,5,0),)</f>
        <v>0</v>
      </c>
      <c r="I55" s="497">
        <f t="shared" si="0"/>
        <v>0</v>
      </c>
      <c r="J55" s="497">
        <f t="shared" si="1"/>
        <v>0</v>
      </c>
      <c r="K55" s="497">
        <f t="shared" si="3"/>
        <v>0</v>
      </c>
      <c r="L55" s="557"/>
    </row>
    <row r="56" spans="1:12">
      <c r="A56" s="809"/>
      <c r="B56" s="556"/>
      <c r="C56" s="433" t="s">
        <v>1358</v>
      </c>
      <c r="D56" s="556"/>
      <c r="E56" s="638">
        <f>IFERROR(VLOOKUP(B56,MODULY_CBA!$B$3:$O$23,14,0)*VLOOKUP('Rozpocet - Vyvoj aplikacii'!C56,EXTERNE_POZICIE!$A$4:$C$39,3,0),0)</f>
        <v>0</v>
      </c>
      <c r="F56" s="496">
        <f>IFERROR(VLOOKUP(C56,POZICIE_INTERNE!$A$4:$D$40,3,0)*VLOOKUP(B56,MODULY_CBA!$B$3:$J$23,9,0)/SUM(MODULY_CBA!$J$3:$J$23),)</f>
        <v>0</v>
      </c>
      <c r="G56" s="502">
        <f>IFERROR(IF(ISTEXT(B56),VLOOKUP(C56,POZICIE_INTERNE!$A$4:$D$40,4,0),),)</f>
        <v>0</v>
      </c>
      <c r="H56" s="503">
        <f>IF(ISTEXT(B56),VLOOKUP(C56,EXTERNE_POZICIE!$A$4:$E$39,5,0),)</f>
        <v>0</v>
      </c>
      <c r="I56" s="497">
        <f t="shared" si="0"/>
        <v>0</v>
      </c>
      <c r="J56" s="497">
        <f t="shared" si="1"/>
        <v>0</v>
      </c>
      <c r="K56" s="497">
        <f t="shared" si="3"/>
        <v>0</v>
      </c>
      <c r="L56" s="557"/>
    </row>
    <row r="57" spans="1:12">
      <c r="A57" s="809" t="s">
        <v>274</v>
      </c>
      <c r="B57" s="556"/>
      <c r="C57" s="433" t="s">
        <v>1338</v>
      </c>
      <c r="D57" s="556"/>
      <c r="E57" s="638">
        <f>IFERROR(VLOOKUP(B57,MODULY_CBA!$B$3:$O$23,14,0)*VLOOKUP('Rozpocet - Vyvoj aplikacii'!C57,EXTERNE_POZICIE!$A$4:$C$39,3,0),0)</f>
        <v>0</v>
      </c>
      <c r="F57" s="496">
        <f>IFERROR(VLOOKUP(C57,POZICIE_INTERNE!$A$4:$D$40,3,0)*VLOOKUP(B57,MODULY_CBA!$B$3:$J$23,9,0)/SUM(MODULY_CBA!$J$3:$J$23),)</f>
        <v>0</v>
      </c>
      <c r="G57" s="502">
        <f>IFERROR(IF(ISTEXT(B57),VLOOKUP(C57,POZICIE_INTERNE!$A$4:$D$40,4,0),),)</f>
        <v>0</v>
      </c>
      <c r="H57" s="503">
        <f>IF(ISTEXT(B57),VLOOKUP(C57,EXTERNE_POZICIE!$A$4:$E$39,5,0),)</f>
        <v>0</v>
      </c>
      <c r="I57" s="497">
        <f t="shared" si="0"/>
        <v>0</v>
      </c>
      <c r="J57" s="497">
        <f t="shared" si="1"/>
        <v>0</v>
      </c>
      <c r="K57" s="497">
        <f t="shared" si="3"/>
        <v>0</v>
      </c>
      <c r="L57" s="557"/>
    </row>
    <row r="58" spans="1:12">
      <c r="A58" s="809"/>
      <c r="B58" s="556"/>
      <c r="C58" s="433" t="s">
        <v>1351</v>
      </c>
      <c r="D58" s="556"/>
      <c r="E58" s="638">
        <f>IFERROR(VLOOKUP(B58,MODULY_CBA!$B$3:$O$23,14,0)*VLOOKUP('Rozpocet - Vyvoj aplikacii'!C58,EXTERNE_POZICIE!$A$4:$C$39,3,0),0)</f>
        <v>0</v>
      </c>
      <c r="F58" s="496">
        <f>IFERROR(VLOOKUP(C58,POZICIE_INTERNE!$A$4:$D$40,3,0)*VLOOKUP(B58,MODULY_CBA!$B$3:$J$23,9,0)/SUM(MODULY_CBA!$J$3:$J$23),)</f>
        <v>0</v>
      </c>
      <c r="G58" s="502">
        <f>IFERROR(IF(ISTEXT(B58),VLOOKUP(C58,POZICIE_INTERNE!$A$4:$D$40,4,0),),)</f>
        <v>0</v>
      </c>
      <c r="H58" s="503">
        <f>IF(ISTEXT(B58),VLOOKUP(C58,EXTERNE_POZICIE!$A$4:$E$39,5,0),)</f>
        <v>0</v>
      </c>
      <c r="I58" s="497">
        <f t="shared" si="0"/>
        <v>0</v>
      </c>
      <c r="J58" s="497">
        <f t="shared" si="1"/>
        <v>0</v>
      </c>
      <c r="K58" s="497">
        <f t="shared" si="3"/>
        <v>0</v>
      </c>
      <c r="L58" s="557"/>
    </row>
    <row r="59" spans="1:12">
      <c r="A59" s="809"/>
      <c r="B59" s="556"/>
      <c r="C59" s="433" t="s">
        <v>1358</v>
      </c>
      <c r="D59" s="556"/>
      <c r="E59" s="638">
        <f>IFERROR(VLOOKUP(B59,MODULY_CBA!$B$3:$O$23,14,0)*VLOOKUP('Rozpocet - Vyvoj aplikacii'!C59,EXTERNE_POZICIE!$A$4:$C$39,3,0),0)</f>
        <v>0</v>
      </c>
      <c r="F59" s="496">
        <f>IFERROR(VLOOKUP(C59,POZICIE_INTERNE!$A$4:$D$40,3,0)*VLOOKUP(B59,MODULY_CBA!$B$3:$J$23,9,0)/SUM(MODULY_CBA!$J$3:$J$23),)</f>
        <v>0</v>
      </c>
      <c r="G59" s="502">
        <f>IFERROR(IF(ISTEXT(B59),VLOOKUP(C59,POZICIE_INTERNE!$A$4:$D$40,4,0),),)</f>
        <v>0</v>
      </c>
      <c r="H59" s="503">
        <f>IF(ISTEXT(B59),VLOOKUP(C59,EXTERNE_POZICIE!$A$4:$E$39,5,0),)</f>
        <v>0</v>
      </c>
      <c r="I59" s="497">
        <f t="shared" si="0"/>
        <v>0</v>
      </c>
      <c r="J59" s="497">
        <f t="shared" si="1"/>
        <v>0</v>
      </c>
      <c r="K59" s="497">
        <f t="shared" si="3"/>
        <v>0</v>
      </c>
      <c r="L59" s="557"/>
    </row>
    <row r="60" spans="1:12">
      <c r="A60" s="809" t="s">
        <v>275</v>
      </c>
      <c r="B60" s="556"/>
      <c r="C60" s="433" t="s">
        <v>1338</v>
      </c>
      <c r="D60" s="556"/>
      <c r="E60" s="638">
        <f>IFERROR(VLOOKUP(B60,MODULY_CBA!$B$3:$O$23,14,0)*VLOOKUP('Rozpocet - Vyvoj aplikacii'!C60,EXTERNE_POZICIE!$A$4:$C$39,3,0),0)</f>
        <v>0</v>
      </c>
      <c r="F60" s="496">
        <f>IFERROR(VLOOKUP(C60,POZICIE_INTERNE!$A$4:$D$40,3,0)*VLOOKUP(B60,MODULY_CBA!$B$3:$J$23,9,0)/SUM(MODULY_CBA!$J$3:$J$23),)</f>
        <v>0</v>
      </c>
      <c r="G60" s="502">
        <f>IFERROR(IF(ISTEXT(B60),VLOOKUP(C60,POZICIE_INTERNE!$A$4:$D$40,4,0),),)</f>
        <v>0</v>
      </c>
      <c r="H60" s="503">
        <f>IF(ISTEXT(B60),VLOOKUP(C60,EXTERNE_POZICIE!$A$4:$E$39,5,0),)</f>
        <v>0</v>
      </c>
      <c r="I60" s="497">
        <f t="shared" si="0"/>
        <v>0</v>
      </c>
      <c r="J60" s="497">
        <f t="shared" si="1"/>
        <v>0</v>
      </c>
      <c r="K60" s="497">
        <f t="shared" si="3"/>
        <v>0</v>
      </c>
      <c r="L60" s="557"/>
    </row>
    <row r="61" spans="1:12">
      <c r="A61" s="809"/>
      <c r="B61" s="556"/>
      <c r="C61" s="433" t="s">
        <v>1351</v>
      </c>
      <c r="D61" s="556"/>
      <c r="E61" s="638">
        <f>IFERROR(VLOOKUP(B61,MODULY_CBA!$B$3:$O$23,14,0)*VLOOKUP('Rozpocet - Vyvoj aplikacii'!C61,EXTERNE_POZICIE!$A$4:$C$39,3,0),0)</f>
        <v>0</v>
      </c>
      <c r="F61" s="496">
        <f>IFERROR(VLOOKUP(C61,POZICIE_INTERNE!$A$4:$D$40,3,0)*VLOOKUP(B61,MODULY_CBA!$B$3:$J$23,9,0)/SUM(MODULY_CBA!$J$3:$J$23),)</f>
        <v>0</v>
      </c>
      <c r="G61" s="502">
        <f>IFERROR(IF(ISTEXT(B61),VLOOKUP(C61,POZICIE_INTERNE!$A$4:$D$40,4,0),),)</f>
        <v>0</v>
      </c>
      <c r="H61" s="503">
        <f>IF(ISTEXT(B61),VLOOKUP(C61,EXTERNE_POZICIE!$A$4:$E$39,5,0),)</f>
        <v>0</v>
      </c>
      <c r="I61" s="497">
        <f t="shared" si="0"/>
        <v>0</v>
      </c>
      <c r="J61" s="497">
        <f t="shared" si="1"/>
        <v>0</v>
      </c>
      <c r="K61" s="497">
        <f t="shared" si="3"/>
        <v>0</v>
      </c>
      <c r="L61" s="557"/>
    </row>
    <row r="62" spans="1:12">
      <c r="A62" s="810"/>
      <c r="B62" s="556"/>
      <c r="C62" s="433" t="s">
        <v>1358</v>
      </c>
      <c r="D62" s="556"/>
      <c r="E62" s="638">
        <f>IFERROR(VLOOKUP(B62,MODULY_CBA!$B$3:$O$23,14,0)*VLOOKUP('Rozpocet - Vyvoj aplikacii'!C62,EXTERNE_POZICIE!$A$4:$C$39,3,0),0)</f>
        <v>0</v>
      </c>
      <c r="F62" s="496">
        <f>IFERROR(VLOOKUP(C62,POZICIE_INTERNE!$A$4:$D$40,3,0)*VLOOKUP(B62,MODULY_CBA!$B$3:$J$23,9,0)/SUM(MODULY_CBA!$J$3:$J$23),)</f>
        <v>0</v>
      </c>
      <c r="G62" s="502">
        <f>IFERROR(IF(ISTEXT(B62),VLOOKUP(C62,POZICIE_INTERNE!$A$4:$D$40,4,0),),)</f>
        <v>0</v>
      </c>
      <c r="H62" s="503">
        <f>IF(ISTEXT(B62),VLOOKUP(C62,EXTERNE_POZICIE!$A$4:$E$39,5,0),)</f>
        <v>0</v>
      </c>
      <c r="I62" s="497">
        <f t="shared" si="0"/>
        <v>0</v>
      </c>
      <c r="J62" s="497">
        <f t="shared" si="1"/>
        <v>0</v>
      </c>
      <c r="K62" s="497">
        <f t="shared" si="3"/>
        <v>0</v>
      </c>
      <c r="L62" s="557"/>
    </row>
    <row r="63" spans="1:12">
      <c r="A63" s="811" t="s">
        <v>276</v>
      </c>
      <c r="B63" s="556"/>
      <c r="C63" s="433" t="s">
        <v>1338</v>
      </c>
      <c r="D63" s="556"/>
      <c r="E63" s="638">
        <f>IFERROR(VLOOKUP(B63,MODULY_CBA!$B$3:$O$23,14,0)*VLOOKUP('Rozpocet - Vyvoj aplikacii'!C63,EXTERNE_POZICIE!$A$4:$C$39,3,0),0)</f>
        <v>0</v>
      </c>
      <c r="F63" s="496">
        <f>IFERROR(VLOOKUP(C63,POZICIE_INTERNE!$A$4:$D$40,3,0)*VLOOKUP(B63,MODULY_CBA!$B$3:$J$23,9,0)/SUM(MODULY_CBA!$J$3:$J$23),)</f>
        <v>0</v>
      </c>
      <c r="G63" s="502">
        <f>IFERROR(IF(ISTEXT(B63),VLOOKUP(C63,POZICIE_INTERNE!$A$4:$D$40,4,0),),)</f>
        <v>0</v>
      </c>
      <c r="H63" s="503">
        <f>IF(ISTEXT(B63),VLOOKUP(C63,EXTERNE_POZICIE!$A$4:$E$39,5,0),)</f>
        <v>0</v>
      </c>
      <c r="I63" s="497">
        <f t="shared" si="0"/>
        <v>0</v>
      </c>
      <c r="J63" s="497">
        <f t="shared" si="1"/>
        <v>0</v>
      </c>
      <c r="K63" s="497">
        <f t="shared" si="3"/>
        <v>0</v>
      </c>
      <c r="L63" s="557"/>
    </row>
    <row r="64" spans="1:12">
      <c r="A64" s="809"/>
      <c r="B64" s="556"/>
      <c r="C64" s="433" t="s">
        <v>1351</v>
      </c>
      <c r="D64" s="556"/>
      <c r="E64" s="638">
        <f>IFERROR(VLOOKUP(B64,MODULY_CBA!$B$3:$O$23,14,0)*VLOOKUP('Rozpocet - Vyvoj aplikacii'!C64,EXTERNE_POZICIE!$A$4:$C$39,3,0),0)</f>
        <v>0</v>
      </c>
      <c r="F64" s="496">
        <f>IFERROR(VLOOKUP(C64,POZICIE_INTERNE!$A$4:$D$40,3,0)*VLOOKUP(B64,MODULY_CBA!$B$3:$J$23,9,0)/SUM(MODULY_CBA!$J$3:$J$23),)</f>
        <v>0</v>
      </c>
      <c r="G64" s="502">
        <f>IFERROR(IF(ISTEXT(B64),VLOOKUP(C64,POZICIE_INTERNE!$A$4:$D$40,4,0),),)</f>
        <v>0</v>
      </c>
      <c r="H64" s="503">
        <f>IF(ISTEXT(B64),VLOOKUP(C64,EXTERNE_POZICIE!$A$4:$E$39,5,0),)</f>
        <v>0</v>
      </c>
      <c r="I64" s="497">
        <f t="shared" si="0"/>
        <v>0</v>
      </c>
      <c r="J64" s="497">
        <f t="shared" si="1"/>
        <v>0</v>
      </c>
      <c r="K64" s="497">
        <f t="shared" si="3"/>
        <v>0</v>
      </c>
      <c r="L64" s="557"/>
    </row>
    <row r="65" spans="1:12">
      <c r="A65" s="809"/>
      <c r="B65" s="556"/>
      <c r="C65" s="433" t="s">
        <v>1358</v>
      </c>
      <c r="D65" s="556"/>
      <c r="E65" s="638">
        <f>IFERROR(VLOOKUP(B65,MODULY_CBA!$B$3:$O$23,14,0)*VLOOKUP('Rozpocet - Vyvoj aplikacii'!C65,EXTERNE_POZICIE!$A$4:$C$39,3,0),0)</f>
        <v>0</v>
      </c>
      <c r="F65" s="496">
        <f>IFERROR(VLOOKUP(C65,POZICIE_INTERNE!$A$4:$D$40,3,0)*VLOOKUP(B65,MODULY_CBA!$B$3:$J$23,9,0)/SUM(MODULY_CBA!$J$3:$J$23),)</f>
        <v>0</v>
      </c>
      <c r="G65" s="502">
        <f>IFERROR(IF(ISTEXT(B65),VLOOKUP(C65,POZICIE_INTERNE!$A$4:$D$40,4,0),),)</f>
        <v>0</v>
      </c>
      <c r="H65" s="503">
        <f>IF(ISTEXT(B65),VLOOKUP(C65,EXTERNE_POZICIE!$A$4:$E$39,5,0),)</f>
        <v>0</v>
      </c>
      <c r="I65" s="497">
        <f t="shared" si="0"/>
        <v>0</v>
      </c>
      <c r="J65" s="497">
        <f t="shared" si="1"/>
        <v>0</v>
      </c>
      <c r="K65" s="497">
        <f t="shared" si="3"/>
        <v>0</v>
      </c>
      <c r="L65" s="557"/>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defaultColWidth="8.85546875" defaultRowHeight="15"/>
  <cols>
    <col min="1" max="11" width="18.140625" style="477" customWidth="1"/>
    <col min="12" max="12" width="26.140625" style="477" customWidth="1"/>
    <col min="13" max="15" width="24.42578125" style="477" customWidth="1"/>
    <col min="16" max="16384" width="8.85546875" style="362"/>
  </cols>
  <sheetData>
    <row r="1" spans="1:12" ht="30">
      <c r="A1" s="477" t="s">
        <v>1416</v>
      </c>
      <c r="B1" s="477" t="s">
        <v>1417</v>
      </c>
      <c r="C1" s="477" t="s">
        <v>1418</v>
      </c>
      <c r="D1" s="477" t="s">
        <v>1419</v>
      </c>
      <c r="E1" s="477" t="s">
        <v>1420</v>
      </c>
      <c r="F1" s="477" t="s">
        <v>1421</v>
      </c>
      <c r="G1" s="477" t="s">
        <v>1422</v>
      </c>
      <c r="H1" s="477" t="s">
        <v>1423</v>
      </c>
      <c r="I1" s="477" t="s">
        <v>1424</v>
      </c>
      <c r="J1" s="477" t="s">
        <v>1425</v>
      </c>
      <c r="K1" s="477" t="s">
        <v>1426</v>
      </c>
      <c r="L1" s="477" t="s">
        <v>1427</v>
      </c>
    </row>
    <row r="2" spans="1:12" ht="75">
      <c r="A2" s="477" t="s">
        <v>1428</v>
      </c>
      <c r="B2" s="477" t="s">
        <v>1429</v>
      </c>
      <c r="C2" s="477" t="s">
        <v>1430</v>
      </c>
      <c r="D2" s="477" t="s">
        <v>1431</v>
      </c>
      <c r="E2" s="477" t="s">
        <v>1432</v>
      </c>
      <c r="F2" s="477" t="s">
        <v>1341</v>
      </c>
      <c r="G2" s="477" t="s">
        <v>1433</v>
      </c>
      <c r="H2" s="477" t="s">
        <v>1434</v>
      </c>
      <c r="I2" s="477" t="s">
        <v>1435</v>
      </c>
      <c r="J2" s="477" t="s">
        <v>1436</v>
      </c>
      <c r="L2" s="477" t="s">
        <v>1437</v>
      </c>
    </row>
    <row r="3" spans="1:12" ht="60">
      <c r="B3" s="477" t="s">
        <v>1438</v>
      </c>
      <c r="D3" s="477" t="s">
        <v>1434</v>
      </c>
      <c r="H3" s="477" t="s">
        <v>1439</v>
      </c>
      <c r="J3" s="477" t="s">
        <v>1440</v>
      </c>
      <c r="L3" s="477" t="s">
        <v>1441</v>
      </c>
    </row>
    <row r="4" spans="1:12" ht="30">
      <c r="L4" s="477" t="s">
        <v>1442</v>
      </c>
    </row>
    <row r="5" spans="1:12" ht="30">
      <c r="L5" s="477" t="s">
        <v>1443</v>
      </c>
    </row>
    <row r="6" spans="1:12" ht="30">
      <c r="L6" s="477" t="s">
        <v>1444</v>
      </c>
    </row>
    <row r="7" spans="1:12" ht="30">
      <c r="L7" s="477" t="s">
        <v>1445</v>
      </c>
    </row>
    <row r="8" spans="1:12">
      <c r="L8" s="477" t="s">
        <v>1446</v>
      </c>
    </row>
    <row r="9" spans="1:12">
      <c r="A9" s="477" t="s">
        <v>1447</v>
      </c>
      <c r="B9" s="477" t="s">
        <v>1448</v>
      </c>
      <c r="D9" s="362" t="s">
        <v>1449</v>
      </c>
      <c r="E9" s="362" t="s">
        <v>1450</v>
      </c>
      <c r="F9" s="477" t="s">
        <v>1451</v>
      </c>
    </row>
    <row r="10" spans="1:12" ht="30">
      <c r="A10" s="627" t="s">
        <v>1340</v>
      </c>
      <c r="B10" s="477" t="s">
        <v>1416</v>
      </c>
      <c r="D10" s="628" t="s">
        <v>1354</v>
      </c>
      <c r="E10" s="477" t="s">
        <v>1428</v>
      </c>
      <c r="F10" s="631">
        <v>1330001</v>
      </c>
    </row>
    <row r="11" spans="1:12" ht="30">
      <c r="A11" s="627" t="s">
        <v>1343</v>
      </c>
      <c r="B11" s="477" t="s">
        <v>1417</v>
      </c>
      <c r="D11" s="629" t="s">
        <v>1452</v>
      </c>
      <c r="E11" s="477" t="s">
        <v>1429</v>
      </c>
      <c r="F11" s="632">
        <v>2512001</v>
      </c>
    </row>
    <row r="12" spans="1:12" ht="30">
      <c r="A12" s="627" t="s">
        <v>1342</v>
      </c>
      <c r="B12" s="477" t="s">
        <v>1418</v>
      </c>
      <c r="D12" s="629" t="s">
        <v>1452</v>
      </c>
      <c r="E12" s="477" t="s">
        <v>1438</v>
      </c>
      <c r="F12" s="632">
        <v>2512002</v>
      </c>
    </row>
    <row r="13" spans="1:12">
      <c r="A13" s="627" t="s">
        <v>1339</v>
      </c>
      <c r="B13" s="477" t="s">
        <v>1419</v>
      </c>
      <c r="D13" s="629" t="s">
        <v>1342</v>
      </c>
      <c r="E13" s="477" t="s">
        <v>1430</v>
      </c>
      <c r="F13" s="632">
        <v>2511003</v>
      </c>
    </row>
    <row r="14" spans="1:12" ht="38.25">
      <c r="A14" s="627" t="s">
        <v>1344</v>
      </c>
      <c r="B14" s="477" t="s">
        <v>1420</v>
      </c>
      <c r="D14" s="629" t="s">
        <v>1339</v>
      </c>
      <c r="E14" s="477" t="s">
        <v>1431</v>
      </c>
      <c r="F14" s="632">
        <v>2511002</v>
      </c>
    </row>
    <row r="15" spans="1:12" ht="30">
      <c r="A15" s="627" t="s">
        <v>1341</v>
      </c>
      <c r="B15" s="477" t="s">
        <v>1421</v>
      </c>
      <c r="D15" s="629" t="s">
        <v>1339</v>
      </c>
      <c r="E15" s="477" t="s">
        <v>1434</v>
      </c>
      <c r="F15" s="632">
        <v>2521001</v>
      </c>
    </row>
    <row r="16" spans="1:12" ht="38.25">
      <c r="A16" s="627" t="s">
        <v>1346</v>
      </c>
      <c r="B16" s="477" t="s">
        <v>1422</v>
      </c>
      <c r="D16" s="628" t="s">
        <v>1344</v>
      </c>
      <c r="E16" s="477" t="s">
        <v>1432</v>
      </c>
      <c r="F16" s="632">
        <v>2421002</v>
      </c>
    </row>
    <row r="17" spans="1:6" ht="25.5">
      <c r="A17" s="627" t="s">
        <v>1347</v>
      </c>
      <c r="B17" s="477" t="s">
        <v>1423</v>
      </c>
      <c r="D17" s="628" t="s">
        <v>1341</v>
      </c>
      <c r="E17" s="477" t="s">
        <v>1341</v>
      </c>
      <c r="F17" s="632">
        <v>2519001</v>
      </c>
    </row>
    <row r="18" spans="1:6" ht="75">
      <c r="A18" s="627" t="s">
        <v>1349</v>
      </c>
      <c r="B18" s="477" t="s">
        <v>1424</v>
      </c>
      <c r="D18" s="628" t="s">
        <v>1390</v>
      </c>
      <c r="E18" s="477" t="s">
        <v>1436</v>
      </c>
      <c r="F18" s="632">
        <v>1330004</v>
      </c>
    </row>
    <row r="19" spans="1:6" ht="30">
      <c r="A19" s="627" t="s">
        <v>1345</v>
      </c>
      <c r="B19" s="477" t="s">
        <v>1425</v>
      </c>
      <c r="D19" s="629" t="s">
        <v>1453</v>
      </c>
      <c r="E19" s="477" t="s">
        <v>1433</v>
      </c>
      <c r="F19" s="632">
        <v>2523000</v>
      </c>
    </row>
    <row r="20" spans="1:6" ht="30">
      <c r="A20" s="627" t="s">
        <v>1348</v>
      </c>
      <c r="B20" s="477" t="s">
        <v>1426</v>
      </c>
      <c r="D20" s="629" t="s">
        <v>1347</v>
      </c>
      <c r="E20" s="477" t="s">
        <v>1434</v>
      </c>
      <c r="F20" s="632">
        <v>2521001</v>
      </c>
    </row>
    <row r="21" spans="1:6" ht="30">
      <c r="A21" s="627" t="s">
        <v>1350</v>
      </c>
      <c r="B21" s="477" t="s">
        <v>1427</v>
      </c>
      <c r="D21" s="629" t="s">
        <v>1347</v>
      </c>
      <c r="E21" s="477" t="s">
        <v>1439</v>
      </c>
      <c r="F21" s="632">
        <v>2521003</v>
      </c>
    </row>
    <row r="22" spans="1:6">
      <c r="D22" s="630" t="s">
        <v>1435</v>
      </c>
      <c r="E22" s="477" t="s">
        <v>1435</v>
      </c>
      <c r="F22" s="632">
        <v>2511001</v>
      </c>
    </row>
    <row r="23" spans="1:6" ht="60">
      <c r="D23" s="629" t="s">
        <v>1454</v>
      </c>
      <c r="E23" s="477" t="s">
        <v>1440</v>
      </c>
      <c r="F23" s="632">
        <v>2529001</v>
      </c>
    </row>
    <row r="24" spans="1:6">
      <c r="D24" s="630" t="s">
        <v>1348</v>
      </c>
      <c r="F24" s="369"/>
    </row>
    <row r="25" spans="1:6" ht="30">
      <c r="D25" s="629" t="s">
        <v>1455</v>
      </c>
      <c r="E25" s="477" t="s">
        <v>1437</v>
      </c>
      <c r="F25" s="632">
        <v>7422003</v>
      </c>
    </row>
    <row r="26" spans="1:6" ht="75">
      <c r="D26" s="629" t="s">
        <v>1455</v>
      </c>
      <c r="E26" s="477" t="s">
        <v>1441</v>
      </c>
      <c r="F26" s="632">
        <v>2153003</v>
      </c>
    </row>
    <row r="27" spans="1:6" ht="60">
      <c r="D27" s="629" t="s">
        <v>1455</v>
      </c>
      <c r="E27" s="477" t="s">
        <v>1442</v>
      </c>
      <c r="F27" s="632">
        <v>2513003</v>
      </c>
    </row>
    <row r="28" spans="1:6" ht="60">
      <c r="D28" s="629" t="s">
        <v>1455</v>
      </c>
      <c r="E28" s="477" t="s">
        <v>1443</v>
      </c>
      <c r="F28" s="632">
        <v>4229</v>
      </c>
    </row>
    <row r="29" spans="1:6" ht="30">
      <c r="D29" s="629" t="s">
        <v>1455</v>
      </c>
      <c r="E29" s="477" t="s">
        <v>1444</v>
      </c>
      <c r="F29" s="369">
        <v>3511002</v>
      </c>
    </row>
    <row r="30" spans="1:6" ht="45">
      <c r="D30" s="629" t="s">
        <v>1455</v>
      </c>
      <c r="E30" s="477" t="s">
        <v>1445</v>
      </c>
      <c r="F30" s="369">
        <v>3512000</v>
      </c>
    </row>
    <row r="31" spans="1:6" ht="30">
      <c r="D31" s="629" t="s">
        <v>1455</v>
      </c>
      <c r="E31" s="477" t="s">
        <v>1446</v>
      </c>
      <c r="F31" s="369">
        <v>2514000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A3" sqref="A3:A30"/>
    </sheetView>
  </sheetViews>
  <sheetFormatPr defaultColWidth="8.85546875" defaultRowHeight="15"/>
  <cols>
    <col min="1" max="1" width="25.42578125" customWidth="1"/>
    <col min="2" max="2" width="79" bestFit="1" customWidth="1"/>
    <col min="3" max="3" width="13.28515625" customWidth="1"/>
    <col min="4" max="4" width="70" bestFit="1" customWidth="1"/>
  </cols>
  <sheetData>
    <row r="1" spans="1:4" ht="19.5" thickBot="1">
      <c r="A1" s="226" t="s">
        <v>26</v>
      </c>
      <c r="D1" s="641" t="s">
        <v>27</v>
      </c>
    </row>
    <row r="2" spans="1:4" ht="15.75" thickBot="1">
      <c r="A2" s="227" t="s">
        <v>28</v>
      </c>
      <c r="B2" s="228" t="s">
        <v>29</v>
      </c>
      <c r="C2" s="521" t="s">
        <v>30</v>
      </c>
      <c r="D2" s="229" t="s">
        <v>31</v>
      </c>
    </row>
    <row r="3" spans="1:4">
      <c r="A3" s="519" t="s">
        <v>32</v>
      </c>
      <c r="B3" s="230" t="s">
        <v>33</v>
      </c>
      <c r="C3" s="522"/>
      <c r="D3" s="194" t="s">
        <v>34</v>
      </c>
    </row>
    <row r="4" spans="1:4">
      <c r="A4" s="519" t="s">
        <v>35</v>
      </c>
      <c r="B4" s="230" t="s">
        <v>36</v>
      </c>
      <c r="C4" s="523"/>
      <c r="D4" s="194" t="s">
        <v>37</v>
      </c>
    </row>
    <row r="5" spans="1:4">
      <c r="A5" s="519" t="s">
        <v>38</v>
      </c>
      <c r="B5" s="230" t="s">
        <v>39</v>
      </c>
      <c r="C5" s="523"/>
      <c r="D5" s="192" t="s">
        <v>40</v>
      </c>
    </row>
    <row r="6" spans="1:4">
      <c r="A6" s="520" t="s">
        <v>41</v>
      </c>
      <c r="B6" s="231" t="s">
        <v>42</v>
      </c>
      <c r="C6" s="524"/>
      <c r="D6" s="232" t="s">
        <v>43</v>
      </c>
    </row>
    <row r="7" spans="1:4">
      <c r="A7" s="520" t="s">
        <v>44</v>
      </c>
      <c r="B7" s="231" t="s">
        <v>45</v>
      </c>
      <c r="C7" s="524"/>
      <c r="D7" s="232" t="s">
        <v>43</v>
      </c>
    </row>
    <row r="8" spans="1:4">
      <c r="A8" s="520" t="s">
        <v>46</v>
      </c>
      <c r="B8" s="231" t="s">
        <v>47</v>
      </c>
      <c r="C8" s="525"/>
      <c r="D8" s="192" t="s">
        <v>34</v>
      </c>
    </row>
    <row r="9" spans="1:4">
      <c r="A9" s="520" t="s">
        <v>48</v>
      </c>
      <c r="B9" s="231" t="s">
        <v>49</v>
      </c>
      <c r="C9" s="526"/>
      <c r="D9" s="192" t="s">
        <v>34</v>
      </c>
    </row>
    <row r="10" spans="1:4">
      <c r="A10" s="520" t="s">
        <v>50</v>
      </c>
      <c r="B10" s="231" t="s">
        <v>51</v>
      </c>
      <c r="C10" s="526"/>
      <c r="D10" s="192" t="s">
        <v>34</v>
      </c>
    </row>
    <row r="11" spans="1:4">
      <c r="A11" s="520" t="s">
        <v>52</v>
      </c>
      <c r="B11" s="231" t="s">
        <v>53</v>
      </c>
      <c r="C11" s="526"/>
      <c r="D11" s="518" t="s">
        <v>34</v>
      </c>
    </row>
    <row r="12" spans="1:4">
      <c r="A12" s="520" t="s">
        <v>54</v>
      </c>
      <c r="B12" s="231" t="s">
        <v>55</v>
      </c>
      <c r="C12" s="526"/>
      <c r="D12" s="192" t="s">
        <v>34</v>
      </c>
    </row>
    <row r="13" spans="1:4">
      <c r="A13" s="520" t="s">
        <v>56</v>
      </c>
      <c r="B13" s="231" t="s">
        <v>57</v>
      </c>
      <c r="C13" s="526"/>
      <c r="D13" s="192" t="s">
        <v>34</v>
      </c>
    </row>
    <row r="14" spans="1:4">
      <c r="A14" s="520" t="s">
        <v>58</v>
      </c>
      <c r="B14" s="231" t="s">
        <v>59</v>
      </c>
      <c r="C14" s="526"/>
      <c r="D14" s="192" t="s">
        <v>34</v>
      </c>
    </row>
    <row r="15" spans="1:4">
      <c r="A15" s="520" t="s">
        <v>60</v>
      </c>
      <c r="B15" s="231" t="s">
        <v>61</v>
      </c>
      <c r="C15" s="527"/>
      <c r="D15" s="192" t="s">
        <v>34</v>
      </c>
    </row>
    <row r="16" spans="1:4">
      <c r="A16" s="520" t="s">
        <v>62</v>
      </c>
      <c r="B16" s="231" t="s">
        <v>63</v>
      </c>
      <c r="C16" s="527"/>
      <c r="D16" s="192" t="s">
        <v>34</v>
      </c>
    </row>
    <row r="17" spans="1:4">
      <c r="A17" s="520" t="s">
        <v>64</v>
      </c>
      <c r="B17" s="231" t="s">
        <v>65</v>
      </c>
      <c r="C17" s="527"/>
      <c r="D17" s="192" t="s">
        <v>34</v>
      </c>
    </row>
    <row r="18" spans="1:4">
      <c r="A18" s="520" t="s">
        <v>66</v>
      </c>
      <c r="B18" s="231" t="s">
        <v>67</v>
      </c>
      <c r="C18" s="527"/>
      <c r="D18" s="192" t="s">
        <v>34</v>
      </c>
    </row>
    <row r="19" spans="1:4">
      <c r="A19" s="520" t="s">
        <v>68</v>
      </c>
      <c r="B19" s="231" t="s">
        <v>69</v>
      </c>
      <c r="C19" s="527"/>
      <c r="D19" s="192" t="s">
        <v>34</v>
      </c>
    </row>
    <row r="20" spans="1:4">
      <c r="A20" s="520" t="s">
        <v>70</v>
      </c>
      <c r="B20" s="231" t="s">
        <v>71</v>
      </c>
      <c r="C20" s="524"/>
      <c r="D20" s="232" t="s">
        <v>43</v>
      </c>
    </row>
    <row r="21" spans="1:4">
      <c r="A21" s="520" t="s">
        <v>72</v>
      </c>
      <c r="B21" s="231" t="s">
        <v>73</v>
      </c>
      <c r="C21" s="528"/>
      <c r="D21" s="192" t="s">
        <v>34</v>
      </c>
    </row>
    <row r="22" spans="1:4">
      <c r="A22" s="520" t="s">
        <v>74</v>
      </c>
      <c r="B22" s="231" t="s">
        <v>75</v>
      </c>
      <c r="C22" s="528"/>
      <c r="D22" s="192" t="s">
        <v>34</v>
      </c>
    </row>
    <row r="23" spans="1:4">
      <c r="A23" s="520" t="s">
        <v>76</v>
      </c>
      <c r="B23" s="231" t="s">
        <v>77</v>
      </c>
      <c r="C23" s="528"/>
      <c r="D23" s="192" t="s">
        <v>34</v>
      </c>
    </row>
    <row r="24" spans="1:4">
      <c r="A24" s="520" t="s">
        <v>78</v>
      </c>
      <c r="B24" s="231" t="s">
        <v>79</v>
      </c>
      <c r="C24" s="528"/>
      <c r="D24" s="192" t="s">
        <v>34</v>
      </c>
    </row>
    <row r="25" spans="1:4">
      <c r="A25" s="520" t="s">
        <v>80</v>
      </c>
      <c r="B25" s="231" t="s">
        <v>81</v>
      </c>
      <c r="C25" s="528"/>
      <c r="D25" s="192" t="s">
        <v>82</v>
      </c>
    </row>
    <row r="26" spans="1:4">
      <c r="A26" s="520" t="s">
        <v>83</v>
      </c>
      <c r="B26" s="231" t="s">
        <v>84</v>
      </c>
      <c r="C26" s="593"/>
      <c r="D26" s="192" t="s">
        <v>85</v>
      </c>
    </row>
    <row r="27" spans="1:4">
      <c r="A27" s="594" t="s">
        <v>86</v>
      </c>
      <c r="B27" s="231" t="s">
        <v>87</v>
      </c>
      <c r="C27" s="593"/>
      <c r="D27" s="192" t="s">
        <v>88</v>
      </c>
    </row>
    <row r="28" spans="1:4">
      <c r="A28" s="594" t="s">
        <v>89</v>
      </c>
      <c r="B28" s="231" t="s">
        <v>90</v>
      </c>
      <c r="C28" s="593"/>
      <c r="D28" s="192" t="s">
        <v>91</v>
      </c>
    </row>
    <row r="29" spans="1:4">
      <c r="A29" s="594" t="s">
        <v>92</v>
      </c>
      <c r="B29" s="231" t="s">
        <v>93</v>
      </c>
      <c r="C29" s="593"/>
      <c r="D29" s="192" t="s">
        <v>91</v>
      </c>
    </row>
    <row r="30" spans="1:4">
      <c r="A30" s="520" t="s">
        <v>94</v>
      </c>
      <c r="B30" s="231" t="s">
        <v>45</v>
      </c>
      <c r="C30" s="593"/>
      <c r="D30" s="232" t="s">
        <v>43</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J102"/>
  <sheetViews>
    <sheetView zoomScaleNormal="100" workbookViewId="0">
      <pane ySplit="2" topLeftCell="A3" activePane="bottomLeft" state="frozen"/>
      <selection pane="bottomLeft" activeCell="L23" sqref="L23"/>
    </sheetView>
  </sheetViews>
  <sheetFormatPr defaultColWidth="8.85546875" defaultRowHeight="15"/>
  <cols>
    <col min="1" max="1" width="17.42578125" style="362" bestFit="1" customWidth="1"/>
    <col min="2" max="2" width="51.42578125" style="362" customWidth="1"/>
    <col min="3" max="3" width="12.42578125" style="362" customWidth="1"/>
    <col min="4" max="4" width="16.28515625" style="362" bestFit="1" customWidth="1"/>
    <col min="5" max="5" width="13.42578125" style="362" bestFit="1" customWidth="1"/>
    <col min="6" max="6" width="8.85546875" style="362"/>
    <col min="7" max="7" width="12.85546875" style="362" bestFit="1" customWidth="1"/>
    <col min="8" max="8" width="18.28515625" style="362" bestFit="1" customWidth="1"/>
    <col min="9" max="9" width="17.140625" style="362" customWidth="1"/>
    <col min="10" max="10" width="48.85546875" style="362" customWidth="1"/>
    <col min="11" max="16384" width="8.85546875" style="362"/>
  </cols>
  <sheetData>
    <row r="1" spans="1:10" ht="15.75" thickBot="1">
      <c r="I1" s="441">
        <f>SUM(I3:I102)</f>
        <v>0</v>
      </c>
    </row>
    <row r="2" spans="1:10" ht="15.75" thickBot="1">
      <c r="A2" s="434" t="s">
        <v>1407</v>
      </c>
      <c r="B2" s="435" t="s">
        <v>1456</v>
      </c>
      <c r="C2" s="435" t="s">
        <v>1457</v>
      </c>
      <c r="D2" s="435" t="s">
        <v>1458</v>
      </c>
      <c r="E2" s="435" t="s">
        <v>1459</v>
      </c>
      <c r="F2" s="435" t="s">
        <v>1313</v>
      </c>
      <c r="G2" s="435" t="s">
        <v>232</v>
      </c>
      <c r="H2" s="436" t="s">
        <v>1460</v>
      </c>
      <c r="I2" s="436" t="s">
        <v>1461</v>
      </c>
      <c r="J2" s="435" t="s">
        <v>1462</v>
      </c>
    </row>
    <row r="3" spans="1:10">
      <c r="A3" s="562" t="s">
        <v>1463</v>
      </c>
      <c r="B3" s="559"/>
      <c r="C3" s="559"/>
      <c r="D3" s="559"/>
      <c r="E3" s="560"/>
      <c r="F3" s="560"/>
      <c r="G3" s="560"/>
      <c r="H3" s="561"/>
      <c r="I3" s="437">
        <f t="shared" ref="I3:I29" si="0">H3*F3</f>
        <v>0</v>
      </c>
      <c r="J3" s="564" t="s">
        <v>1464</v>
      </c>
    </row>
    <row r="4" spans="1:10">
      <c r="A4" s="562" t="s">
        <v>1465</v>
      </c>
      <c r="B4" s="559"/>
      <c r="C4" s="559"/>
      <c r="D4" s="559"/>
      <c r="E4" s="560"/>
      <c r="F4" s="560"/>
      <c r="G4" s="560"/>
      <c r="H4" s="561"/>
      <c r="I4" s="437">
        <f t="shared" si="0"/>
        <v>0</v>
      </c>
      <c r="J4" s="564"/>
    </row>
    <row r="5" spans="1:10">
      <c r="A5" s="562" t="s">
        <v>1466</v>
      </c>
      <c r="B5" s="559"/>
      <c r="C5" s="559"/>
      <c r="D5" s="559"/>
      <c r="E5" s="560"/>
      <c r="F5" s="560"/>
      <c r="G5" s="560"/>
      <c r="H5" s="561"/>
      <c r="I5" s="437">
        <f t="shared" si="0"/>
        <v>0</v>
      </c>
      <c r="J5" s="564"/>
    </row>
    <row r="6" spans="1:10">
      <c r="A6" s="562" t="s">
        <v>1467</v>
      </c>
      <c r="B6" s="559"/>
      <c r="C6" s="559"/>
      <c r="D6" s="559"/>
      <c r="E6" s="560"/>
      <c r="F6" s="560"/>
      <c r="G6" s="560"/>
      <c r="H6" s="561"/>
      <c r="I6" s="437">
        <f t="shared" si="0"/>
        <v>0</v>
      </c>
      <c r="J6" s="564"/>
    </row>
    <row r="7" spans="1:10">
      <c r="A7" s="562"/>
      <c r="B7" s="559"/>
      <c r="C7" s="559"/>
      <c r="D7" s="559"/>
      <c r="E7" s="560"/>
      <c r="F7" s="560"/>
      <c r="G7" s="560"/>
      <c r="H7" s="561"/>
      <c r="I7" s="437">
        <f t="shared" si="0"/>
        <v>0</v>
      </c>
      <c r="J7" s="564"/>
    </row>
    <row r="8" spans="1:10">
      <c r="A8" s="562"/>
      <c r="B8" s="559"/>
      <c r="C8" s="559"/>
      <c r="D8" s="559"/>
      <c r="E8" s="560"/>
      <c r="F8" s="560"/>
      <c r="G8" s="560"/>
      <c r="H8" s="561"/>
      <c r="I8" s="437">
        <f t="shared" si="0"/>
        <v>0</v>
      </c>
      <c r="J8" s="564"/>
    </row>
    <row r="9" spans="1:10">
      <c r="A9" s="562"/>
      <c r="B9" s="559"/>
      <c r="C9" s="559"/>
      <c r="D9" s="559"/>
      <c r="E9" s="560"/>
      <c r="F9" s="560"/>
      <c r="G9" s="560"/>
      <c r="H9" s="561"/>
      <c r="I9" s="437">
        <f t="shared" si="0"/>
        <v>0</v>
      </c>
      <c r="J9" s="564"/>
    </row>
    <row r="10" spans="1:10">
      <c r="A10" s="562"/>
      <c r="B10" s="559"/>
      <c r="C10" s="559"/>
      <c r="D10" s="559"/>
      <c r="E10" s="560"/>
      <c r="F10" s="560"/>
      <c r="G10" s="560"/>
      <c r="H10" s="561"/>
      <c r="I10" s="437">
        <f t="shared" si="0"/>
        <v>0</v>
      </c>
      <c r="J10" s="564"/>
    </row>
    <row r="11" spans="1:10">
      <c r="A11" s="562"/>
      <c r="B11" s="559"/>
      <c r="C11" s="559"/>
      <c r="D11" s="559"/>
      <c r="E11" s="560"/>
      <c r="F11" s="560"/>
      <c r="G11" s="560"/>
      <c r="H11" s="561"/>
      <c r="I11" s="437">
        <f t="shared" si="0"/>
        <v>0</v>
      </c>
      <c r="J11" s="564"/>
    </row>
    <row r="12" spans="1:10">
      <c r="A12" s="562"/>
      <c r="B12" s="559"/>
      <c r="C12" s="559"/>
      <c r="D12" s="559"/>
      <c r="E12" s="560"/>
      <c r="F12" s="560"/>
      <c r="G12" s="560"/>
      <c r="H12" s="561"/>
      <c r="I12" s="437">
        <f t="shared" si="0"/>
        <v>0</v>
      </c>
      <c r="J12" s="564"/>
    </row>
    <row r="13" spans="1:10">
      <c r="A13" s="562"/>
      <c r="B13" s="559"/>
      <c r="C13" s="559"/>
      <c r="D13" s="559"/>
      <c r="E13" s="560"/>
      <c r="F13" s="560"/>
      <c r="G13" s="560"/>
      <c r="H13" s="561"/>
      <c r="I13" s="437">
        <f t="shared" si="0"/>
        <v>0</v>
      </c>
      <c r="J13" s="564"/>
    </row>
    <row r="14" spans="1:10">
      <c r="A14" s="562"/>
      <c r="B14" s="559"/>
      <c r="C14" s="559"/>
      <c r="D14" s="559"/>
      <c r="E14" s="560"/>
      <c r="F14" s="560"/>
      <c r="G14" s="560"/>
      <c r="H14" s="561"/>
      <c r="I14" s="437">
        <f t="shared" si="0"/>
        <v>0</v>
      </c>
      <c r="J14" s="564"/>
    </row>
    <row r="15" spans="1:10">
      <c r="A15" s="562"/>
      <c r="B15" s="559"/>
      <c r="C15" s="559"/>
      <c r="D15" s="559"/>
      <c r="E15" s="560"/>
      <c r="F15" s="560"/>
      <c r="G15" s="560"/>
      <c r="H15" s="561"/>
      <c r="I15" s="437">
        <f t="shared" si="0"/>
        <v>0</v>
      </c>
      <c r="J15" s="564"/>
    </row>
    <row r="16" spans="1:10">
      <c r="A16" s="562"/>
      <c r="B16" s="559"/>
      <c r="C16" s="559"/>
      <c r="D16" s="559"/>
      <c r="E16" s="560"/>
      <c r="F16" s="560"/>
      <c r="G16" s="560"/>
      <c r="H16" s="561"/>
      <c r="I16" s="437">
        <f t="shared" si="0"/>
        <v>0</v>
      </c>
      <c r="J16" s="564"/>
    </row>
    <row r="17" spans="1:10">
      <c r="A17" s="562"/>
      <c r="B17" s="559"/>
      <c r="C17" s="559"/>
      <c r="D17" s="559"/>
      <c r="E17" s="560"/>
      <c r="F17" s="560"/>
      <c r="G17" s="560"/>
      <c r="H17" s="561"/>
      <c r="I17" s="437">
        <f t="shared" si="0"/>
        <v>0</v>
      </c>
      <c r="J17" s="564"/>
    </row>
    <row r="18" spans="1:10">
      <c r="A18" s="562"/>
      <c r="B18" s="559"/>
      <c r="C18" s="559"/>
      <c r="D18" s="559"/>
      <c r="E18" s="560"/>
      <c r="F18" s="560"/>
      <c r="G18" s="560"/>
      <c r="H18" s="561"/>
      <c r="I18" s="437">
        <f t="shared" si="0"/>
        <v>0</v>
      </c>
      <c r="J18" s="564"/>
    </row>
    <row r="19" spans="1:10">
      <c r="A19" s="562"/>
      <c r="B19" s="559"/>
      <c r="C19" s="559"/>
      <c r="D19" s="559"/>
      <c r="E19" s="560"/>
      <c r="F19" s="560"/>
      <c r="G19" s="560"/>
      <c r="H19" s="561"/>
      <c r="I19" s="437">
        <f t="shared" si="0"/>
        <v>0</v>
      </c>
      <c r="J19" s="564"/>
    </row>
    <row r="20" spans="1:10">
      <c r="A20" s="562"/>
      <c r="B20" s="559"/>
      <c r="C20" s="559"/>
      <c r="D20" s="559"/>
      <c r="E20" s="560"/>
      <c r="F20" s="560"/>
      <c r="G20" s="560"/>
      <c r="H20" s="561"/>
      <c r="I20" s="437">
        <f t="shared" si="0"/>
        <v>0</v>
      </c>
      <c r="J20" s="564"/>
    </row>
    <row r="21" spans="1:10">
      <c r="A21" s="562"/>
      <c r="B21" s="559"/>
      <c r="C21" s="559"/>
      <c r="D21" s="559"/>
      <c r="E21" s="560"/>
      <c r="F21" s="560"/>
      <c r="G21" s="560"/>
      <c r="H21" s="561"/>
      <c r="I21" s="437">
        <f t="shared" si="0"/>
        <v>0</v>
      </c>
      <c r="J21" s="564"/>
    </row>
    <row r="22" spans="1:10">
      <c r="A22" s="562"/>
      <c r="B22" s="559"/>
      <c r="C22" s="559"/>
      <c r="D22" s="559"/>
      <c r="E22" s="560"/>
      <c r="F22" s="560"/>
      <c r="G22" s="560"/>
      <c r="H22" s="561"/>
      <c r="I22" s="437">
        <f t="shared" si="0"/>
        <v>0</v>
      </c>
      <c r="J22" s="564"/>
    </row>
    <row r="23" spans="1:10">
      <c r="A23" s="562"/>
      <c r="B23" s="559"/>
      <c r="C23" s="559"/>
      <c r="D23" s="559"/>
      <c r="E23" s="560"/>
      <c r="F23" s="560"/>
      <c r="G23" s="560"/>
      <c r="H23" s="561"/>
      <c r="I23" s="437">
        <f t="shared" si="0"/>
        <v>0</v>
      </c>
      <c r="J23" s="564"/>
    </row>
    <row r="24" spans="1:10">
      <c r="A24" s="562"/>
      <c r="B24" s="559"/>
      <c r="C24" s="559"/>
      <c r="D24" s="559"/>
      <c r="E24" s="560"/>
      <c r="F24" s="560"/>
      <c r="G24" s="560"/>
      <c r="H24" s="561"/>
      <c r="I24" s="437">
        <f t="shared" si="0"/>
        <v>0</v>
      </c>
      <c r="J24" s="564"/>
    </row>
    <row r="25" spans="1:10">
      <c r="A25" s="562"/>
      <c r="B25" s="559"/>
      <c r="C25" s="559"/>
      <c r="D25" s="559"/>
      <c r="E25" s="560"/>
      <c r="F25" s="560"/>
      <c r="G25" s="560"/>
      <c r="H25" s="561"/>
      <c r="I25" s="437">
        <f t="shared" si="0"/>
        <v>0</v>
      </c>
      <c r="J25" s="564"/>
    </row>
    <row r="26" spans="1:10">
      <c r="A26" s="562"/>
      <c r="B26" s="559"/>
      <c r="C26" s="559"/>
      <c r="D26" s="559"/>
      <c r="E26" s="560"/>
      <c r="F26" s="560"/>
      <c r="G26" s="560"/>
      <c r="H26" s="561"/>
      <c r="I26" s="437">
        <f t="shared" si="0"/>
        <v>0</v>
      </c>
      <c r="J26" s="564"/>
    </row>
    <row r="27" spans="1:10">
      <c r="A27" s="558"/>
      <c r="B27" s="559"/>
      <c r="C27" s="559"/>
      <c r="D27" s="559"/>
      <c r="E27" s="560"/>
      <c r="F27" s="560"/>
      <c r="G27" s="560"/>
      <c r="H27" s="561"/>
      <c r="I27" s="437">
        <f t="shared" si="0"/>
        <v>0</v>
      </c>
      <c r="J27" s="564"/>
    </row>
    <row r="28" spans="1:10">
      <c r="A28" s="558"/>
      <c r="B28" s="559"/>
      <c r="C28" s="559"/>
      <c r="D28" s="559"/>
      <c r="E28" s="560"/>
      <c r="F28" s="560"/>
      <c r="G28" s="560"/>
      <c r="H28" s="561"/>
      <c r="I28" s="437">
        <f t="shared" si="0"/>
        <v>0</v>
      </c>
      <c r="J28" s="564"/>
    </row>
    <row r="29" spans="1:10">
      <c r="A29" s="562"/>
      <c r="B29" s="559"/>
      <c r="C29" s="559"/>
      <c r="D29" s="559"/>
      <c r="E29" s="560"/>
      <c r="F29" s="560"/>
      <c r="G29" s="560"/>
      <c r="H29" s="561"/>
      <c r="I29" s="437">
        <f t="shared" si="0"/>
        <v>0</v>
      </c>
      <c r="J29" s="564"/>
    </row>
    <row r="30" spans="1:10">
      <c r="A30" s="562"/>
      <c r="B30" s="559"/>
      <c r="C30" s="559"/>
      <c r="D30" s="559"/>
      <c r="E30" s="560"/>
      <c r="F30" s="560"/>
      <c r="G30" s="560"/>
      <c r="H30" s="563"/>
      <c r="I30" s="437">
        <f t="shared" ref="I30:I93" si="1">H30*F30</f>
        <v>0</v>
      </c>
      <c r="J30" s="564"/>
    </row>
    <row r="31" spans="1:10">
      <c r="A31" s="562"/>
      <c r="B31" s="559"/>
      <c r="C31" s="559"/>
      <c r="D31" s="559"/>
      <c r="E31" s="560"/>
      <c r="F31" s="560"/>
      <c r="G31" s="560"/>
      <c r="H31" s="563"/>
      <c r="I31" s="437">
        <f t="shared" si="1"/>
        <v>0</v>
      </c>
      <c r="J31" s="564"/>
    </row>
    <row r="32" spans="1:10">
      <c r="A32" s="562"/>
      <c r="B32" s="559"/>
      <c r="C32" s="559"/>
      <c r="D32" s="559"/>
      <c r="E32" s="560"/>
      <c r="F32" s="560"/>
      <c r="G32" s="560"/>
      <c r="H32" s="563"/>
      <c r="I32" s="437">
        <f t="shared" si="1"/>
        <v>0</v>
      </c>
      <c r="J32" s="564"/>
    </row>
    <row r="33" spans="1:10">
      <c r="A33" s="562"/>
      <c r="B33" s="559"/>
      <c r="C33" s="559"/>
      <c r="D33" s="559"/>
      <c r="E33" s="560"/>
      <c r="F33" s="560"/>
      <c r="G33" s="560"/>
      <c r="H33" s="563"/>
      <c r="I33" s="437">
        <f t="shared" si="1"/>
        <v>0</v>
      </c>
      <c r="J33" s="564"/>
    </row>
    <row r="34" spans="1:10">
      <c r="A34" s="562"/>
      <c r="B34" s="559"/>
      <c r="C34" s="559"/>
      <c r="D34" s="559"/>
      <c r="E34" s="560"/>
      <c r="F34" s="560"/>
      <c r="G34" s="560"/>
      <c r="H34" s="563"/>
      <c r="I34" s="437">
        <f t="shared" si="1"/>
        <v>0</v>
      </c>
      <c r="J34" s="564"/>
    </row>
    <row r="35" spans="1:10">
      <c r="A35" s="562"/>
      <c r="B35" s="559"/>
      <c r="C35" s="559"/>
      <c r="D35" s="559"/>
      <c r="E35" s="560"/>
      <c r="F35" s="560"/>
      <c r="G35" s="560"/>
      <c r="H35" s="563"/>
      <c r="I35" s="437">
        <f t="shared" si="1"/>
        <v>0</v>
      </c>
      <c r="J35" s="564"/>
    </row>
    <row r="36" spans="1:10">
      <c r="A36" s="562"/>
      <c r="B36" s="559"/>
      <c r="C36" s="559"/>
      <c r="D36" s="559"/>
      <c r="E36" s="560"/>
      <c r="F36" s="560"/>
      <c r="G36" s="560"/>
      <c r="H36" s="563"/>
      <c r="I36" s="437">
        <f t="shared" si="1"/>
        <v>0</v>
      </c>
      <c r="J36" s="564"/>
    </row>
    <row r="37" spans="1:10">
      <c r="A37" s="562"/>
      <c r="B37" s="559"/>
      <c r="C37" s="559"/>
      <c r="D37" s="559"/>
      <c r="E37" s="560"/>
      <c r="F37" s="560"/>
      <c r="G37" s="560"/>
      <c r="H37" s="563"/>
      <c r="I37" s="437">
        <f t="shared" si="1"/>
        <v>0</v>
      </c>
      <c r="J37" s="564"/>
    </row>
    <row r="38" spans="1:10">
      <c r="A38" s="562"/>
      <c r="B38" s="559"/>
      <c r="C38" s="559"/>
      <c r="D38" s="559"/>
      <c r="E38" s="560"/>
      <c r="F38" s="560"/>
      <c r="G38" s="560"/>
      <c r="H38" s="563"/>
      <c r="I38" s="437">
        <f t="shared" si="1"/>
        <v>0</v>
      </c>
      <c r="J38" s="564"/>
    </row>
    <row r="39" spans="1:10">
      <c r="A39" s="562"/>
      <c r="B39" s="559"/>
      <c r="C39" s="559"/>
      <c r="D39" s="559"/>
      <c r="E39" s="560"/>
      <c r="F39" s="560"/>
      <c r="G39" s="560"/>
      <c r="H39" s="563"/>
      <c r="I39" s="437">
        <f t="shared" si="1"/>
        <v>0</v>
      </c>
      <c r="J39" s="564"/>
    </row>
    <row r="40" spans="1:10">
      <c r="A40" s="562"/>
      <c r="B40" s="559"/>
      <c r="C40" s="559"/>
      <c r="D40" s="559"/>
      <c r="E40" s="560"/>
      <c r="F40" s="560"/>
      <c r="G40" s="560"/>
      <c r="H40" s="563"/>
      <c r="I40" s="437">
        <f t="shared" si="1"/>
        <v>0</v>
      </c>
      <c r="J40" s="564"/>
    </row>
    <row r="41" spans="1:10">
      <c r="A41" s="562"/>
      <c r="B41" s="559"/>
      <c r="C41" s="559"/>
      <c r="D41" s="559"/>
      <c r="E41" s="560"/>
      <c r="F41" s="560"/>
      <c r="G41" s="560"/>
      <c r="H41" s="563"/>
      <c r="I41" s="437">
        <f t="shared" si="1"/>
        <v>0</v>
      </c>
      <c r="J41" s="564"/>
    </row>
    <row r="42" spans="1:10">
      <c r="A42" s="562"/>
      <c r="B42" s="559"/>
      <c r="C42" s="559"/>
      <c r="D42" s="559"/>
      <c r="E42" s="560"/>
      <c r="F42" s="560"/>
      <c r="G42" s="560"/>
      <c r="H42" s="563"/>
      <c r="I42" s="437">
        <f t="shared" si="1"/>
        <v>0</v>
      </c>
      <c r="J42" s="564"/>
    </row>
    <row r="43" spans="1:10">
      <c r="A43" s="562"/>
      <c r="B43" s="559"/>
      <c r="C43" s="559"/>
      <c r="D43" s="559"/>
      <c r="E43" s="560"/>
      <c r="F43" s="560"/>
      <c r="G43" s="560"/>
      <c r="H43" s="563"/>
      <c r="I43" s="437">
        <f t="shared" si="1"/>
        <v>0</v>
      </c>
      <c r="J43" s="564"/>
    </row>
    <row r="44" spans="1:10">
      <c r="A44" s="562"/>
      <c r="B44" s="559"/>
      <c r="C44" s="559"/>
      <c r="D44" s="559"/>
      <c r="E44" s="560"/>
      <c r="F44" s="560"/>
      <c r="G44" s="560"/>
      <c r="H44" s="563"/>
      <c r="I44" s="437">
        <f t="shared" si="1"/>
        <v>0</v>
      </c>
      <c r="J44" s="564"/>
    </row>
    <row r="45" spans="1:10">
      <c r="A45" s="562"/>
      <c r="B45" s="559"/>
      <c r="C45" s="559"/>
      <c r="D45" s="559"/>
      <c r="E45" s="560"/>
      <c r="F45" s="560"/>
      <c r="G45" s="560"/>
      <c r="H45" s="561"/>
      <c r="I45" s="437">
        <f t="shared" si="1"/>
        <v>0</v>
      </c>
      <c r="J45" s="564"/>
    </row>
    <row r="46" spans="1:10">
      <c r="A46" s="562"/>
      <c r="B46" s="559"/>
      <c r="C46" s="559"/>
      <c r="D46" s="559"/>
      <c r="E46" s="560"/>
      <c r="F46" s="560"/>
      <c r="G46" s="560"/>
      <c r="H46" s="561"/>
      <c r="I46" s="437">
        <f t="shared" si="1"/>
        <v>0</v>
      </c>
      <c r="J46" s="564"/>
    </row>
    <row r="47" spans="1:10">
      <c r="A47" s="562"/>
      <c r="B47" s="559"/>
      <c r="C47" s="559"/>
      <c r="D47" s="559"/>
      <c r="E47" s="560"/>
      <c r="F47" s="560"/>
      <c r="G47" s="560"/>
      <c r="H47" s="561"/>
      <c r="I47" s="437">
        <f t="shared" si="1"/>
        <v>0</v>
      </c>
      <c r="J47" s="564"/>
    </row>
    <row r="48" spans="1:10">
      <c r="A48" s="562"/>
      <c r="B48" s="559"/>
      <c r="C48" s="559"/>
      <c r="D48" s="559"/>
      <c r="E48" s="560"/>
      <c r="F48" s="560"/>
      <c r="G48" s="560"/>
      <c r="H48" s="561"/>
      <c r="I48" s="437">
        <f t="shared" si="1"/>
        <v>0</v>
      </c>
      <c r="J48" s="564"/>
    </row>
    <row r="49" spans="1:10">
      <c r="A49" s="562"/>
      <c r="B49" s="559"/>
      <c r="C49" s="559"/>
      <c r="D49" s="559"/>
      <c r="E49" s="560"/>
      <c r="F49" s="560"/>
      <c r="G49" s="560"/>
      <c r="H49" s="561"/>
      <c r="I49" s="437">
        <f t="shared" si="1"/>
        <v>0</v>
      </c>
      <c r="J49" s="564"/>
    </row>
    <row r="50" spans="1:10">
      <c r="A50" s="562"/>
      <c r="B50" s="559"/>
      <c r="C50" s="559"/>
      <c r="D50" s="559"/>
      <c r="E50" s="560"/>
      <c r="F50" s="560"/>
      <c r="G50" s="560"/>
      <c r="H50" s="561"/>
      <c r="I50" s="437">
        <f t="shared" si="1"/>
        <v>0</v>
      </c>
      <c r="J50" s="564"/>
    </row>
    <row r="51" spans="1:10">
      <c r="A51" s="562"/>
      <c r="B51" s="559"/>
      <c r="C51" s="559"/>
      <c r="D51" s="559"/>
      <c r="E51" s="560"/>
      <c r="F51" s="560"/>
      <c r="G51" s="560"/>
      <c r="H51" s="561"/>
      <c r="I51" s="437">
        <f t="shared" si="1"/>
        <v>0</v>
      </c>
      <c r="J51" s="564"/>
    </row>
    <row r="52" spans="1:10">
      <c r="A52" s="562"/>
      <c r="B52" s="559"/>
      <c r="C52" s="559"/>
      <c r="D52" s="559"/>
      <c r="E52" s="560"/>
      <c r="F52" s="560"/>
      <c r="G52" s="560"/>
      <c r="H52" s="561"/>
      <c r="I52" s="437">
        <f t="shared" si="1"/>
        <v>0</v>
      </c>
      <c r="J52" s="564"/>
    </row>
    <row r="53" spans="1:10">
      <c r="A53" s="562"/>
      <c r="B53" s="559"/>
      <c r="C53" s="559"/>
      <c r="D53" s="559"/>
      <c r="E53" s="560"/>
      <c r="F53" s="560"/>
      <c r="G53" s="560"/>
      <c r="H53" s="561"/>
      <c r="I53" s="437">
        <f t="shared" si="1"/>
        <v>0</v>
      </c>
      <c r="J53" s="564"/>
    </row>
    <row r="54" spans="1:10">
      <c r="A54" s="562"/>
      <c r="B54" s="559"/>
      <c r="C54" s="559"/>
      <c r="D54" s="559"/>
      <c r="E54" s="560"/>
      <c r="F54" s="560"/>
      <c r="G54" s="560"/>
      <c r="H54" s="561"/>
      <c r="I54" s="437">
        <f t="shared" si="1"/>
        <v>0</v>
      </c>
      <c r="J54" s="564"/>
    </row>
    <row r="55" spans="1:10">
      <c r="A55" s="562"/>
      <c r="B55" s="559"/>
      <c r="C55" s="559"/>
      <c r="D55" s="559"/>
      <c r="E55" s="560"/>
      <c r="F55" s="560"/>
      <c r="G55" s="560"/>
      <c r="H55" s="561"/>
      <c r="I55" s="437">
        <f t="shared" si="1"/>
        <v>0</v>
      </c>
      <c r="J55" s="564"/>
    </row>
    <row r="56" spans="1:10">
      <c r="A56" s="562"/>
      <c r="B56" s="559"/>
      <c r="C56" s="559"/>
      <c r="D56" s="559"/>
      <c r="E56" s="560"/>
      <c r="F56" s="560"/>
      <c r="G56" s="560"/>
      <c r="H56" s="561"/>
      <c r="I56" s="437">
        <f t="shared" si="1"/>
        <v>0</v>
      </c>
      <c r="J56" s="564"/>
    </row>
    <row r="57" spans="1:10">
      <c r="A57" s="562"/>
      <c r="B57" s="559"/>
      <c r="C57" s="559"/>
      <c r="D57" s="559"/>
      <c r="E57" s="560"/>
      <c r="F57" s="560"/>
      <c r="G57" s="560"/>
      <c r="H57" s="561"/>
      <c r="I57" s="437">
        <f t="shared" si="1"/>
        <v>0</v>
      </c>
      <c r="J57" s="564"/>
    </row>
    <row r="58" spans="1:10">
      <c r="A58" s="562"/>
      <c r="B58" s="559"/>
      <c r="C58" s="559"/>
      <c r="D58" s="559"/>
      <c r="E58" s="560"/>
      <c r="F58" s="560"/>
      <c r="G58" s="560"/>
      <c r="H58" s="561"/>
      <c r="I58" s="437">
        <f t="shared" si="1"/>
        <v>0</v>
      </c>
      <c r="J58" s="564"/>
    </row>
    <row r="59" spans="1:10">
      <c r="A59" s="562"/>
      <c r="B59" s="559"/>
      <c r="C59" s="559"/>
      <c r="D59" s="559"/>
      <c r="E59" s="560"/>
      <c r="F59" s="560"/>
      <c r="G59" s="560"/>
      <c r="H59" s="561"/>
      <c r="I59" s="437">
        <f t="shared" si="1"/>
        <v>0</v>
      </c>
      <c r="J59" s="564"/>
    </row>
    <row r="60" spans="1:10">
      <c r="A60" s="562"/>
      <c r="B60" s="559"/>
      <c r="C60" s="559"/>
      <c r="D60" s="559"/>
      <c r="E60" s="560"/>
      <c r="F60" s="560"/>
      <c r="G60" s="560"/>
      <c r="H60" s="561"/>
      <c r="I60" s="437">
        <f t="shared" si="1"/>
        <v>0</v>
      </c>
      <c r="J60" s="564"/>
    </row>
    <row r="61" spans="1:10">
      <c r="A61" s="562"/>
      <c r="B61" s="559"/>
      <c r="C61" s="559"/>
      <c r="D61" s="559"/>
      <c r="E61" s="560"/>
      <c r="F61" s="560"/>
      <c r="G61" s="560"/>
      <c r="H61" s="561"/>
      <c r="I61" s="437">
        <f t="shared" si="1"/>
        <v>0</v>
      </c>
      <c r="J61" s="564"/>
    </row>
    <row r="62" spans="1:10">
      <c r="A62" s="562"/>
      <c r="B62" s="559"/>
      <c r="C62" s="559"/>
      <c r="D62" s="559"/>
      <c r="E62" s="560"/>
      <c r="F62" s="560"/>
      <c r="G62" s="560"/>
      <c r="H62" s="561"/>
      <c r="I62" s="437">
        <f t="shared" si="1"/>
        <v>0</v>
      </c>
      <c r="J62" s="564"/>
    </row>
    <row r="63" spans="1:10">
      <c r="A63" s="562"/>
      <c r="B63" s="559"/>
      <c r="C63" s="559"/>
      <c r="D63" s="559"/>
      <c r="E63" s="560"/>
      <c r="F63" s="560"/>
      <c r="G63" s="560"/>
      <c r="H63" s="561"/>
      <c r="I63" s="437">
        <f t="shared" si="1"/>
        <v>0</v>
      </c>
      <c r="J63" s="564"/>
    </row>
    <row r="64" spans="1:10">
      <c r="A64" s="562"/>
      <c r="B64" s="559"/>
      <c r="C64" s="559"/>
      <c r="D64" s="559"/>
      <c r="E64" s="560"/>
      <c r="F64" s="560"/>
      <c r="G64" s="560"/>
      <c r="H64" s="561"/>
      <c r="I64" s="437">
        <f t="shared" si="1"/>
        <v>0</v>
      </c>
      <c r="J64" s="564"/>
    </row>
    <row r="65" spans="1:10">
      <c r="A65" s="562"/>
      <c r="B65" s="559"/>
      <c r="C65" s="559"/>
      <c r="D65" s="559"/>
      <c r="E65" s="560"/>
      <c r="F65" s="560"/>
      <c r="G65" s="560"/>
      <c r="H65" s="561"/>
      <c r="I65" s="437">
        <f t="shared" si="1"/>
        <v>0</v>
      </c>
      <c r="J65" s="564"/>
    </row>
    <row r="66" spans="1:10">
      <c r="A66" s="562"/>
      <c r="B66" s="559"/>
      <c r="C66" s="559"/>
      <c r="D66" s="559"/>
      <c r="E66" s="560"/>
      <c r="F66" s="560"/>
      <c r="G66" s="560"/>
      <c r="H66" s="561"/>
      <c r="I66" s="437">
        <f t="shared" si="1"/>
        <v>0</v>
      </c>
      <c r="J66" s="564"/>
    </row>
    <row r="67" spans="1:10">
      <c r="A67" s="562"/>
      <c r="B67" s="559"/>
      <c r="C67" s="559"/>
      <c r="D67" s="559"/>
      <c r="E67" s="560"/>
      <c r="F67" s="560"/>
      <c r="G67" s="560"/>
      <c r="H67" s="561"/>
      <c r="I67" s="437">
        <f t="shared" si="1"/>
        <v>0</v>
      </c>
      <c r="J67" s="564"/>
    </row>
    <row r="68" spans="1:10">
      <c r="A68" s="562"/>
      <c r="B68" s="559"/>
      <c r="C68" s="559"/>
      <c r="D68" s="559"/>
      <c r="E68" s="560"/>
      <c r="F68" s="560"/>
      <c r="G68" s="560"/>
      <c r="H68" s="561"/>
      <c r="I68" s="437">
        <f t="shared" si="1"/>
        <v>0</v>
      </c>
      <c r="J68" s="564"/>
    </row>
    <row r="69" spans="1:10">
      <c r="A69" s="562"/>
      <c r="B69" s="559"/>
      <c r="C69" s="559"/>
      <c r="D69" s="559"/>
      <c r="E69" s="560"/>
      <c r="F69" s="560"/>
      <c r="G69" s="560"/>
      <c r="H69" s="561"/>
      <c r="I69" s="437">
        <f t="shared" si="1"/>
        <v>0</v>
      </c>
      <c r="J69" s="564"/>
    </row>
    <row r="70" spans="1:10">
      <c r="A70" s="562"/>
      <c r="B70" s="559"/>
      <c r="C70" s="559"/>
      <c r="D70" s="559"/>
      <c r="E70" s="560"/>
      <c r="F70" s="560"/>
      <c r="G70" s="560"/>
      <c r="H70" s="561"/>
      <c r="I70" s="437">
        <f t="shared" si="1"/>
        <v>0</v>
      </c>
      <c r="J70" s="564"/>
    </row>
    <row r="71" spans="1:10">
      <c r="A71" s="562"/>
      <c r="B71" s="559"/>
      <c r="C71" s="559"/>
      <c r="D71" s="559"/>
      <c r="E71" s="560"/>
      <c r="F71" s="560"/>
      <c r="G71" s="560"/>
      <c r="H71" s="561"/>
      <c r="I71" s="437">
        <f t="shared" si="1"/>
        <v>0</v>
      </c>
      <c r="J71" s="564"/>
    </row>
    <row r="72" spans="1:10">
      <c r="A72" s="562"/>
      <c r="B72" s="559"/>
      <c r="C72" s="559"/>
      <c r="D72" s="559"/>
      <c r="E72" s="560"/>
      <c r="F72" s="560"/>
      <c r="G72" s="560"/>
      <c r="H72" s="561"/>
      <c r="I72" s="437">
        <f t="shared" si="1"/>
        <v>0</v>
      </c>
      <c r="J72" s="564"/>
    </row>
    <row r="73" spans="1:10">
      <c r="A73" s="562"/>
      <c r="B73" s="559"/>
      <c r="C73" s="559"/>
      <c r="D73" s="559"/>
      <c r="E73" s="560"/>
      <c r="F73" s="560"/>
      <c r="G73" s="560"/>
      <c r="H73" s="561"/>
      <c r="I73" s="437">
        <f t="shared" si="1"/>
        <v>0</v>
      </c>
      <c r="J73" s="564"/>
    </row>
    <row r="74" spans="1:10">
      <c r="A74" s="562"/>
      <c r="B74" s="559"/>
      <c r="C74" s="559"/>
      <c r="D74" s="559"/>
      <c r="E74" s="560"/>
      <c r="F74" s="560"/>
      <c r="G74" s="560"/>
      <c r="H74" s="561"/>
      <c r="I74" s="437">
        <f t="shared" si="1"/>
        <v>0</v>
      </c>
      <c r="J74" s="564"/>
    </row>
    <row r="75" spans="1:10">
      <c r="A75" s="562"/>
      <c r="B75" s="559"/>
      <c r="C75" s="559"/>
      <c r="D75" s="559"/>
      <c r="E75" s="560"/>
      <c r="F75" s="560"/>
      <c r="G75" s="560"/>
      <c r="H75" s="561"/>
      <c r="I75" s="437">
        <f t="shared" si="1"/>
        <v>0</v>
      </c>
      <c r="J75" s="564"/>
    </row>
    <row r="76" spans="1:10">
      <c r="A76" s="562"/>
      <c r="B76" s="559"/>
      <c r="C76" s="559"/>
      <c r="D76" s="559"/>
      <c r="E76" s="560"/>
      <c r="F76" s="560"/>
      <c r="G76" s="560"/>
      <c r="H76" s="561"/>
      <c r="I76" s="437">
        <f t="shared" si="1"/>
        <v>0</v>
      </c>
      <c r="J76" s="564"/>
    </row>
    <row r="77" spans="1:10">
      <c r="A77" s="562"/>
      <c r="B77" s="559"/>
      <c r="C77" s="559"/>
      <c r="D77" s="559"/>
      <c r="E77" s="560"/>
      <c r="F77" s="560"/>
      <c r="G77" s="560"/>
      <c r="H77" s="561"/>
      <c r="I77" s="437">
        <f t="shared" si="1"/>
        <v>0</v>
      </c>
      <c r="J77" s="564"/>
    </row>
    <row r="78" spans="1:10">
      <c r="A78" s="562"/>
      <c r="B78" s="559"/>
      <c r="C78" s="559"/>
      <c r="D78" s="559"/>
      <c r="E78" s="560"/>
      <c r="F78" s="560"/>
      <c r="G78" s="560"/>
      <c r="H78" s="561"/>
      <c r="I78" s="437">
        <f t="shared" si="1"/>
        <v>0</v>
      </c>
      <c r="J78" s="564"/>
    </row>
    <row r="79" spans="1:10">
      <c r="A79" s="562"/>
      <c r="B79" s="559"/>
      <c r="C79" s="559"/>
      <c r="D79" s="559"/>
      <c r="E79" s="560"/>
      <c r="F79" s="560"/>
      <c r="G79" s="560"/>
      <c r="H79" s="561"/>
      <c r="I79" s="437">
        <f t="shared" si="1"/>
        <v>0</v>
      </c>
      <c r="J79" s="564"/>
    </row>
    <row r="80" spans="1:10">
      <c r="A80" s="562"/>
      <c r="B80" s="559"/>
      <c r="C80" s="559"/>
      <c r="D80" s="559"/>
      <c r="E80" s="560"/>
      <c r="F80" s="560"/>
      <c r="G80" s="560"/>
      <c r="H80" s="561"/>
      <c r="I80" s="437">
        <f t="shared" si="1"/>
        <v>0</v>
      </c>
      <c r="J80" s="564"/>
    </row>
    <row r="81" spans="1:10">
      <c r="A81" s="562"/>
      <c r="B81" s="559"/>
      <c r="C81" s="559"/>
      <c r="D81" s="559"/>
      <c r="E81" s="560"/>
      <c r="F81" s="560"/>
      <c r="G81" s="560"/>
      <c r="H81" s="561"/>
      <c r="I81" s="437">
        <f t="shared" si="1"/>
        <v>0</v>
      </c>
      <c r="J81" s="564"/>
    </row>
    <row r="82" spans="1:10">
      <c r="A82" s="562"/>
      <c r="B82" s="559"/>
      <c r="C82" s="559"/>
      <c r="D82" s="559"/>
      <c r="E82" s="560"/>
      <c r="F82" s="560"/>
      <c r="G82" s="560"/>
      <c r="H82" s="561"/>
      <c r="I82" s="437">
        <f t="shared" si="1"/>
        <v>0</v>
      </c>
      <c r="J82" s="564"/>
    </row>
    <row r="83" spans="1:10">
      <c r="A83" s="562"/>
      <c r="B83" s="559"/>
      <c r="C83" s="559"/>
      <c r="D83" s="559"/>
      <c r="E83" s="560"/>
      <c r="F83" s="560"/>
      <c r="G83" s="560"/>
      <c r="H83" s="561"/>
      <c r="I83" s="437">
        <f t="shared" si="1"/>
        <v>0</v>
      </c>
      <c r="J83" s="564"/>
    </row>
    <row r="84" spans="1:10">
      <c r="A84" s="562"/>
      <c r="B84" s="559"/>
      <c r="C84" s="559"/>
      <c r="D84" s="559"/>
      <c r="E84" s="560"/>
      <c r="F84" s="560"/>
      <c r="G84" s="560"/>
      <c r="H84" s="561"/>
      <c r="I84" s="437">
        <f t="shared" si="1"/>
        <v>0</v>
      </c>
      <c r="J84" s="564"/>
    </row>
    <row r="85" spans="1:10">
      <c r="A85" s="562"/>
      <c r="B85" s="559"/>
      <c r="C85" s="559"/>
      <c r="D85" s="559"/>
      <c r="E85" s="560"/>
      <c r="F85" s="560"/>
      <c r="G85" s="560"/>
      <c r="H85" s="561"/>
      <c r="I85" s="437">
        <f t="shared" si="1"/>
        <v>0</v>
      </c>
      <c r="J85" s="564"/>
    </row>
    <row r="86" spans="1:10">
      <c r="A86" s="562"/>
      <c r="B86" s="559"/>
      <c r="C86" s="559"/>
      <c r="D86" s="559"/>
      <c r="E86" s="560"/>
      <c r="F86" s="560"/>
      <c r="G86" s="560"/>
      <c r="H86" s="561"/>
      <c r="I86" s="437">
        <f t="shared" si="1"/>
        <v>0</v>
      </c>
      <c r="J86" s="564"/>
    </row>
    <row r="87" spans="1:10">
      <c r="A87" s="562"/>
      <c r="B87" s="559"/>
      <c r="C87" s="559"/>
      <c r="D87" s="559"/>
      <c r="E87" s="560"/>
      <c r="F87" s="560"/>
      <c r="G87" s="560"/>
      <c r="H87" s="561"/>
      <c r="I87" s="437">
        <f t="shared" si="1"/>
        <v>0</v>
      </c>
      <c r="J87" s="564"/>
    </row>
    <row r="88" spans="1:10">
      <c r="A88" s="562"/>
      <c r="B88" s="559"/>
      <c r="C88" s="559"/>
      <c r="D88" s="559"/>
      <c r="E88" s="560"/>
      <c r="F88" s="560"/>
      <c r="G88" s="560"/>
      <c r="H88" s="561"/>
      <c r="I88" s="437">
        <f t="shared" si="1"/>
        <v>0</v>
      </c>
      <c r="J88" s="564"/>
    </row>
    <row r="89" spans="1:10">
      <c r="A89" s="562"/>
      <c r="B89" s="559"/>
      <c r="C89" s="559"/>
      <c r="D89" s="559"/>
      <c r="E89" s="560"/>
      <c r="F89" s="560"/>
      <c r="G89" s="560"/>
      <c r="H89" s="561"/>
      <c r="I89" s="437">
        <f t="shared" si="1"/>
        <v>0</v>
      </c>
      <c r="J89" s="564"/>
    </row>
    <row r="90" spans="1:10">
      <c r="A90" s="562"/>
      <c r="B90" s="559"/>
      <c r="C90" s="559"/>
      <c r="D90" s="559"/>
      <c r="E90" s="560"/>
      <c r="F90" s="560"/>
      <c r="G90" s="560"/>
      <c r="H90" s="561"/>
      <c r="I90" s="437">
        <f t="shared" si="1"/>
        <v>0</v>
      </c>
      <c r="J90" s="564"/>
    </row>
    <row r="91" spans="1:10">
      <c r="A91" s="562"/>
      <c r="B91" s="559"/>
      <c r="C91" s="559"/>
      <c r="D91" s="559"/>
      <c r="E91" s="560"/>
      <c r="F91" s="560"/>
      <c r="G91" s="560"/>
      <c r="H91" s="561"/>
      <c r="I91" s="437">
        <f t="shared" si="1"/>
        <v>0</v>
      </c>
      <c r="J91" s="564"/>
    </row>
    <row r="92" spans="1:10">
      <c r="A92" s="562"/>
      <c r="B92" s="559"/>
      <c r="C92" s="559"/>
      <c r="D92" s="559"/>
      <c r="E92" s="560"/>
      <c r="F92" s="560"/>
      <c r="G92" s="560"/>
      <c r="H92" s="561"/>
      <c r="I92" s="437">
        <f t="shared" si="1"/>
        <v>0</v>
      </c>
      <c r="J92" s="564"/>
    </row>
    <row r="93" spans="1:10">
      <c r="A93" s="562"/>
      <c r="B93" s="559"/>
      <c r="C93" s="559"/>
      <c r="D93" s="559"/>
      <c r="E93" s="560"/>
      <c r="F93" s="560"/>
      <c r="G93" s="560"/>
      <c r="H93" s="561"/>
      <c r="I93" s="437">
        <f t="shared" si="1"/>
        <v>0</v>
      </c>
      <c r="J93" s="564"/>
    </row>
    <row r="94" spans="1:10">
      <c r="A94" s="562"/>
      <c r="B94" s="559"/>
      <c r="C94" s="559"/>
      <c r="D94" s="559"/>
      <c r="E94" s="560"/>
      <c r="F94" s="560"/>
      <c r="G94" s="560"/>
      <c r="H94" s="561"/>
      <c r="I94" s="437">
        <f t="shared" ref="I94:I102" si="2">H94*F94</f>
        <v>0</v>
      </c>
      <c r="J94" s="564"/>
    </row>
    <row r="95" spans="1:10">
      <c r="A95" s="562"/>
      <c r="B95" s="559"/>
      <c r="C95" s="559"/>
      <c r="D95" s="559"/>
      <c r="E95" s="560"/>
      <c r="F95" s="560"/>
      <c r="G95" s="560"/>
      <c r="H95" s="561"/>
      <c r="I95" s="437">
        <f t="shared" si="2"/>
        <v>0</v>
      </c>
      <c r="J95" s="564"/>
    </row>
    <row r="96" spans="1:10">
      <c r="A96" s="562"/>
      <c r="B96" s="559"/>
      <c r="C96" s="559"/>
      <c r="D96" s="559"/>
      <c r="E96" s="560"/>
      <c r="F96" s="560"/>
      <c r="G96" s="560"/>
      <c r="H96" s="561"/>
      <c r="I96" s="437">
        <f t="shared" si="2"/>
        <v>0</v>
      </c>
      <c r="J96" s="564"/>
    </row>
    <row r="97" spans="1:10">
      <c r="A97" s="562"/>
      <c r="B97" s="559"/>
      <c r="C97" s="559"/>
      <c r="D97" s="559"/>
      <c r="E97" s="560"/>
      <c r="F97" s="560"/>
      <c r="G97" s="560"/>
      <c r="H97" s="561"/>
      <c r="I97" s="437">
        <f t="shared" si="2"/>
        <v>0</v>
      </c>
      <c r="J97" s="564"/>
    </row>
    <row r="98" spans="1:10">
      <c r="A98" s="562"/>
      <c r="B98" s="559"/>
      <c r="C98" s="559"/>
      <c r="D98" s="559"/>
      <c r="E98" s="560"/>
      <c r="F98" s="560"/>
      <c r="G98" s="560"/>
      <c r="H98" s="561"/>
      <c r="I98" s="437">
        <f t="shared" si="2"/>
        <v>0</v>
      </c>
      <c r="J98" s="564"/>
    </row>
    <row r="99" spans="1:10">
      <c r="A99" s="562"/>
      <c r="B99" s="559"/>
      <c r="C99" s="559"/>
      <c r="D99" s="559"/>
      <c r="E99" s="560"/>
      <c r="F99" s="560"/>
      <c r="G99" s="560"/>
      <c r="H99" s="561"/>
      <c r="I99" s="437">
        <f t="shared" si="2"/>
        <v>0</v>
      </c>
      <c r="J99" s="564"/>
    </row>
    <row r="100" spans="1:10">
      <c r="A100" s="562"/>
      <c r="B100" s="559"/>
      <c r="C100" s="559"/>
      <c r="D100" s="559"/>
      <c r="E100" s="560"/>
      <c r="F100" s="560"/>
      <c r="G100" s="560"/>
      <c r="H100" s="561"/>
      <c r="I100" s="437">
        <f t="shared" si="2"/>
        <v>0</v>
      </c>
      <c r="J100" s="564"/>
    </row>
    <row r="101" spans="1:10">
      <c r="A101" s="562"/>
      <c r="B101" s="559"/>
      <c r="C101" s="559"/>
      <c r="D101" s="559"/>
      <c r="E101" s="560"/>
      <c r="F101" s="560"/>
      <c r="G101" s="560"/>
      <c r="H101" s="561"/>
      <c r="I101" s="437">
        <f t="shared" si="2"/>
        <v>0</v>
      </c>
      <c r="J101" s="564"/>
    </row>
    <row r="102" spans="1:10">
      <c r="A102" s="562"/>
      <c r="B102" s="559"/>
      <c r="C102" s="559"/>
      <c r="D102" s="559"/>
      <c r="E102" s="560"/>
      <c r="F102" s="560"/>
      <c r="G102" s="560"/>
      <c r="H102" s="561"/>
      <c r="I102" s="437">
        <f t="shared" si="2"/>
        <v>0</v>
      </c>
      <c r="J102" s="564"/>
    </row>
  </sheetData>
  <autoFilter ref="A2:J44" xr:uid="{00000000-0009-0000-0000-000013000000}"/>
  <sortState xmlns:xlrd2="http://schemas.microsoft.com/office/spreadsheetml/2017/richdata2" ref="A3:J29">
    <sortCondition ref="A2:A29"/>
  </sortState>
  <dataValidations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Normal="100" workbookViewId="0">
      <pane ySplit="2" topLeftCell="A3" activePane="bottomLeft" state="frozen"/>
      <selection activeCell="J3" sqref="J3:J11"/>
      <selection pane="bottomLeft" activeCell="K38" sqref="K38"/>
    </sheetView>
  </sheetViews>
  <sheetFormatPr defaultColWidth="8.85546875" defaultRowHeight="15"/>
  <cols>
    <col min="1" max="1" width="3" style="362" customWidth="1"/>
    <col min="2" max="2" width="38.28515625" style="362" bestFit="1" customWidth="1"/>
    <col min="3" max="3" width="33.140625" style="362" customWidth="1"/>
    <col min="4" max="6" width="13.85546875" style="362" customWidth="1"/>
    <col min="7" max="10" width="12.140625" style="362" customWidth="1"/>
    <col min="11" max="16384" width="8.85546875" style="362"/>
  </cols>
  <sheetData>
    <row r="1" spans="1:10">
      <c r="B1" s="364"/>
      <c r="C1" s="364"/>
      <c r="D1" s="364"/>
      <c r="E1" s="364"/>
      <c r="F1" s="364"/>
      <c r="G1" s="814" t="s">
        <v>1468</v>
      </c>
      <c r="H1" s="814"/>
      <c r="I1" s="814"/>
      <c r="J1" s="814"/>
    </row>
    <row r="2" spans="1:10" s="366" customFormat="1" ht="30">
      <c r="A2" s="365" t="s">
        <v>225</v>
      </c>
      <c r="B2" s="365" t="s">
        <v>1407</v>
      </c>
      <c r="C2" s="365" t="s">
        <v>1469</v>
      </c>
      <c r="D2" s="529" t="s">
        <v>231</v>
      </c>
      <c r="E2" s="529" t="s">
        <v>1470</v>
      </c>
      <c r="F2" s="529" t="s">
        <v>1471</v>
      </c>
      <c r="G2" s="529" t="s">
        <v>1472</v>
      </c>
      <c r="H2" s="475" t="s">
        <v>1473</v>
      </c>
      <c r="I2" s="529" t="s">
        <v>1474</v>
      </c>
      <c r="J2" s="529" t="s">
        <v>426</v>
      </c>
    </row>
    <row r="3" spans="1:10">
      <c r="A3" s="812">
        <v>1</v>
      </c>
      <c r="B3" s="813" t="s">
        <v>241</v>
      </c>
      <c r="C3" s="367" t="str">
        <f>IFERROR(IF(ISTEXT(B3),"Analýza a dizajn",""),)</f>
        <v>Analýza a dizajn</v>
      </c>
      <c r="D3" s="367" t="str">
        <f>IFERROR(VLOOKUP(B3,MODULY_CBA!$B$3:$I$23,6,0),"")</f>
        <v>Inkrement 1</v>
      </c>
      <c r="E3" s="368">
        <f>IFERROR(VLOOKUP(D3,INKREMENTY!$A$2:$F$21,2,0),"")</f>
        <v>46174</v>
      </c>
      <c r="F3" s="368">
        <f>IFERROR(VLOOKUP(D3,INKREMENTY!$A$2:$F$21,4,0),"")</f>
        <v>46752</v>
      </c>
      <c r="G3" s="367">
        <f>IFERROR(ROUND(((E3-$E$3)+1)/30,0)+1,)</f>
        <v>1</v>
      </c>
      <c r="H3" s="367">
        <f>G3-1</f>
        <v>0</v>
      </c>
      <c r="I3" s="549">
        <v>6</v>
      </c>
      <c r="J3" s="367">
        <f>H3+I3</f>
        <v>6</v>
      </c>
    </row>
    <row r="4" spans="1:10">
      <c r="A4" s="812"/>
      <c r="B4" s="813"/>
      <c r="C4" s="367" t="str">
        <f>IFERROR(IF(ISTEXT(B3),"Nákupo HW a krabicový SW",""),)</f>
        <v>Nákupo HW a krabicový SW</v>
      </c>
      <c r="D4" s="364"/>
      <c r="E4" s="364"/>
      <c r="F4" s="364"/>
      <c r="G4" s="549"/>
      <c r="H4" s="367">
        <f t="shared" ref="H4:H27" si="0">G4-1</f>
        <v>-1</v>
      </c>
      <c r="I4" s="549"/>
      <c r="J4" s="367">
        <f>H4+I4</f>
        <v>-1</v>
      </c>
    </row>
    <row r="5" spans="1:10">
      <c r="A5" s="812"/>
      <c r="B5" s="813"/>
      <c r="C5" s="367" t="str">
        <f>IFERROR(IF(ISTEXT(B3),"Implementácia",""),)</f>
        <v>Implementácia</v>
      </c>
      <c r="D5" s="364"/>
      <c r="E5" s="364"/>
      <c r="F5" s="364"/>
      <c r="G5" s="549">
        <v>7</v>
      </c>
      <c r="H5" s="367">
        <f t="shared" si="0"/>
        <v>6</v>
      </c>
      <c r="I5" s="549">
        <v>6</v>
      </c>
      <c r="J5" s="367">
        <f>H5+I5</f>
        <v>12</v>
      </c>
    </row>
    <row r="6" spans="1:10">
      <c r="A6" s="812"/>
      <c r="B6" s="813"/>
      <c r="C6" s="367" t="str">
        <f>IFERROR(IF(ISTEXT(B3),"Testovanie",""),)</f>
        <v>Testovanie</v>
      </c>
      <c r="D6" s="364"/>
      <c r="E6" s="364"/>
      <c r="F6" s="364"/>
      <c r="G6" s="549">
        <v>13</v>
      </c>
      <c r="H6" s="367">
        <f t="shared" si="0"/>
        <v>12</v>
      </c>
      <c r="I6" s="549">
        <v>4</v>
      </c>
      <c r="J6" s="367">
        <f>H6+I6</f>
        <v>16</v>
      </c>
    </row>
    <row r="7" spans="1:10">
      <c r="A7" s="812"/>
      <c r="B7" s="813"/>
      <c r="C7" s="367" t="str">
        <f>IFERROR(IF(ISTEXT(B3),"Nasadenie",""),)</f>
        <v>Nasadenie</v>
      </c>
      <c r="D7" s="364"/>
      <c r="E7" s="364"/>
      <c r="F7" s="364"/>
      <c r="G7" s="549">
        <v>17</v>
      </c>
      <c r="H7" s="367">
        <f t="shared" si="0"/>
        <v>16</v>
      </c>
      <c r="I7" s="367">
        <f>J7-H7</f>
        <v>3</v>
      </c>
      <c r="J7" s="367">
        <f>IFERROR(ROUND((F3-$E$3+1)/30,0),)</f>
        <v>19</v>
      </c>
    </row>
    <row r="8" spans="1:10">
      <c r="A8" s="812">
        <v>2</v>
      </c>
      <c r="B8" s="813" t="s">
        <v>244</v>
      </c>
      <c r="C8" s="367" t="str">
        <f>IFERROR(IF(ISTEXT(B8),"Analýza a dizajn",""),)</f>
        <v>Analýza a dizajn</v>
      </c>
      <c r="D8" s="367" t="str">
        <f>IFERROR(VLOOKUP(B8,MODULY_CBA!$B$3:$I$23,6,0),"")</f>
        <v>Inkrement 1</v>
      </c>
      <c r="E8" s="368">
        <f>IFERROR(VLOOKUP(D8,INKREMENTY!$A$2:$F$21,2,0),"")</f>
        <v>46174</v>
      </c>
      <c r="F8" s="368">
        <f>IFERROR(VLOOKUP(D8,INKREMENTY!$A$2:$F$21,4,0),"")</f>
        <v>46752</v>
      </c>
      <c r="G8" s="367">
        <f>IFERROR(ROUND(((E8-$E$3)+1)/30,0)+1,)</f>
        <v>1</v>
      </c>
      <c r="H8" s="367">
        <f t="shared" si="0"/>
        <v>0</v>
      </c>
      <c r="I8" s="549">
        <v>6</v>
      </c>
      <c r="J8" s="367">
        <f t="shared" ref="J8:J11" si="1">H8+I8</f>
        <v>6</v>
      </c>
    </row>
    <row r="9" spans="1:10">
      <c r="A9" s="812"/>
      <c r="B9" s="813"/>
      <c r="C9" s="367" t="str">
        <f>IFERROR(IF(ISTEXT(B8),"Nákupo HW a krabicový SW",""),)</f>
        <v>Nákupo HW a krabicový SW</v>
      </c>
      <c r="D9" s="364"/>
      <c r="E9" s="364"/>
      <c r="F9" s="364"/>
      <c r="G9" s="549"/>
      <c r="H9" s="367">
        <f>G9-1</f>
        <v>-1</v>
      </c>
      <c r="I9" s="549"/>
      <c r="J9" s="367">
        <f>H9+I9</f>
        <v>-1</v>
      </c>
    </row>
    <row r="10" spans="1:10">
      <c r="A10" s="812"/>
      <c r="B10" s="813"/>
      <c r="C10" s="367" t="str">
        <f>IFERROR(IF(ISTEXT(B8),"Implementácia",""),)</f>
        <v>Implementácia</v>
      </c>
      <c r="D10" s="364"/>
      <c r="E10" s="364"/>
      <c r="F10" s="364"/>
      <c r="G10" s="549">
        <v>7</v>
      </c>
      <c r="H10" s="367">
        <f t="shared" si="0"/>
        <v>6</v>
      </c>
      <c r="I10" s="549">
        <v>6</v>
      </c>
      <c r="J10" s="367">
        <f t="shared" si="1"/>
        <v>12</v>
      </c>
    </row>
    <row r="11" spans="1:10">
      <c r="A11" s="812"/>
      <c r="B11" s="813"/>
      <c r="C11" s="367" t="str">
        <f>IFERROR(IF(ISTEXT(B8),"Testovanie",""),)</f>
        <v>Testovanie</v>
      </c>
      <c r="D11" s="364"/>
      <c r="E11" s="364"/>
      <c r="F11" s="364"/>
      <c r="G11" s="549">
        <v>13</v>
      </c>
      <c r="H11" s="367">
        <f t="shared" si="0"/>
        <v>12</v>
      </c>
      <c r="I11" s="549">
        <v>4</v>
      </c>
      <c r="J11" s="367">
        <f t="shared" si="1"/>
        <v>16</v>
      </c>
    </row>
    <row r="12" spans="1:10">
      <c r="A12" s="812"/>
      <c r="B12" s="813"/>
      <c r="C12" s="367" t="str">
        <f>IFERROR(IF(ISTEXT(B8),"Nasadenie",""),)</f>
        <v>Nasadenie</v>
      </c>
      <c r="D12" s="364"/>
      <c r="E12" s="364"/>
      <c r="F12" s="364"/>
      <c r="G12" s="549">
        <v>17</v>
      </c>
      <c r="H12" s="367">
        <f t="shared" si="0"/>
        <v>16</v>
      </c>
      <c r="I12" s="367">
        <f>J12-H12</f>
        <v>3</v>
      </c>
      <c r="J12" s="367">
        <f>IFERROR(ROUND((F8-$E$3+1)/30,0),)</f>
        <v>19</v>
      </c>
    </row>
    <row r="13" spans="1:10">
      <c r="A13" s="812">
        <v>3</v>
      </c>
      <c r="B13" s="813" t="s">
        <v>246</v>
      </c>
      <c r="C13" s="367" t="str">
        <f>IFERROR(IF(ISTEXT(B13),"Analýza a dizajn",""),)</f>
        <v>Analýza a dizajn</v>
      </c>
      <c r="D13" s="367" t="str">
        <f>IFERROR(VLOOKUP(B13,MODULY_CBA!$B$3:$I$23,6,0),"")</f>
        <v>Inkrement 1</v>
      </c>
      <c r="E13" s="368">
        <f>IFERROR(VLOOKUP(D13,INKREMENTY!$A$2:$F$21,2,0),"")</f>
        <v>46174</v>
      </c>
      <c r="F13" s="368">
        <f>IFERROR(VLOOKUP(D13,INKREMENTY!$A$2:$F$21,4,0),"")</f>
        <v>46752</v>
      </c>
      <c r="G13" s="367">
        <f>IFERROR(ROUND(((E13-$E$3)+1)/30,0)+1,)</f>
        <v>1</v>
      </c>
      <c r="H13" s="367">
        <f t="shared" si="0"/>
        <v>0</v>
      </c>
      <c r="I13" s="549">
        <v>6</v>
      </c>
      <c r="J13" s="367">
        <f t="shared" ref="J13:J16" si="2">H13+I13</f>
        <v>6</v>
      </c>
    </row>
    <row r="14" spans="1:10">
      <c r="A14" s="812"/>
      <c r="B14" s="813"/>
      <c r="C14" s="367" t="str">
        <f>IFERROR(IF(ISTEXT(B13),"Nákupo HW a krabicový SW",""),)</f>
        <v>Nákupo HW a krabicový SW</v>
      </c>
      <c r="D14" s="364"/>
      <c r="E14" s="364"/>
      <c r="F14" s="364"/>
      <c r="G14" s="549"/>
      <c r="H14" s="367">
        <f t="shared" ref="H14" si="3">G14-1</f>
        <v>-1</v>
      </c>
      <c r="I14" s="549"/>
      <c r="J14" s="367">
        <f t="shared" si="2"/>
        <v>-1</v>
      </c>
    </row>
    <row r="15" spans="1:10">
      <c r="A15" s="812"/>
      <c r="B15" s="813"/>
      <c r="C15" s="367" t="str">
        <f>IFERROR(IF(ISTEXT(B13),"Implementácia",""),)</f>
        <v>Implementácia</v>
      </c>
      <c r="D15" s="364"/>
      <c r="E15" s="364"/>
      <c r="F15" s="364"/>
      <c r="G15" s="549">
        <v>7</v>
      </c>
      <c r="H15" s="367">
        <f t="shared" si="0"/>
        <v>6</v>
      </c>
      <c r="I15" s="549">
        <v>6</v>
      </c>
      <c r="J15" s="367">
        <f t="shared" si="2"/>
        <v>12</v>
      </c>
    </row>
    <row r="16" spans="1:10">
      <c r="A16" s="812"/>
      <c r="B16" s="813"/>
      <c r="C16" s="367" t="str">
        <f>IFERROR(IF(ISTEXT(B13),"Testovanie",""),)</f>
        <v>Testovanie</v>
      </c>
      <c r="D16" s="364"/>
      <c r="E16" s="364"/>
      <c r="F16" s="364"/>
      <c r="G16" s="549">
        <v>13</v>
      </c>
      <c r="H16" s="367">
        <f t="shared" si="0"/>
        <v>12</v>
      </c>
      <c r="I16" s="549">
        <v>4</v>
      </c>
      <c r="J16" s="367">
        <f t="shared" si="2"/>
        <v>16</v>
      </c>
    </row>
    <row r="17" spans="1:10">
      <c r="A17" s="812"/>
      <c r="B17" s="813"/>
      <c r="C17" s="367" t="str">
        <f>IFERROR(IF(ISTEXT(B13),"Nasadenie",""),)</f>
        <v>Nasadenie</v>
      </c>
      <c r="D17" s="364"/>
      <c r="E17" s="364"/>
      <c r="F17" s="364"/>
      <c r="G17" s="549">
        <v>17</v>
      </c>
      <c r="H17" s="367">
        <f t="shared" si="0"/>
        <v>16</v>
      </c>
      <c r="I17" s="367">
        <f>J17-H17</f>
        <v>3</v>
      </c>
      <c r="J17" s="367">
        <f>IFERROR(ROUND((F13-$E$3+1)/30,0),)</f>
        <v>19</v>
      </c>
    </row>
    <row r="18" spans="1:10">
      <c r="A18" s="812">
        <v>4</v>
      </c>
      <c r="B18" s="813" t="s">
        <v>248</v>
      </c>
      <c r="C18" s="367" t="str">
        <f>IFERROR(IF(ISTEXT(B18),"Analýza a dizajn",""),)</f>
        <v>Analýza a dizajn</v>
      </c>
      <c r="D18" s="367" t="str">
        <f>IFERROR(VLOOKUP(B18,MODULY_CBA!$B$3:$I$23,6,0),"")</f>
        <v>Inkrement 1</v>
      </c>
      <c r="E18" s="368">
        <f>IFERROR(VLOOKUP(D18,INKREMENTY!$A$2:$F$21,2,0),"")</f>
        <v>46174</v>
      </c>
      <c r="F18" s="368">
        <f>IFERROR(VLOOKUP(D18,INKREMENTY!$A$2:$F$21,4,0),"")</f>
        <v>46752</v>
      </c>
      <c r="G18" s="367">
        <f>IFERROR(ROUND(((E18-$E$3)+1)/30,0)+1,)</f>
        <v>1</v>
      </c>
      <c r="H18" s="367">
        <f t="shared" si="0"/>
        <v>0</v>
      </c>
      <c r="I18" s="549">
        <v>6</v>
      </c>
      <c r="J18" s="367">
        <f t="shared" ref="J18:J21" si="4">H18+I18</f>
        <v>6</v>
      </c>
    </row>
    <row r="19" spans="1:10">
      <c r="A19" s="812"/>
      <c r="B19" s="813"/>
      <c r="C19" s="367" t="str">
        <f>IFERROR(IF(ISTEXT(B18),"Nákupo HW a krabicový SW",""),)</f>
        <v>Nákupo HW a krabicový SW</v>
      </c>
      <c r="D19" s="364"/>
      <c r="E19" s="364"/>
      <c r="F19" s="364"/>
      <c r="G19" s="549"/>
      <c r="H19" s="367">
        <f t="shared" ref="H19" si="5">G19-1</f>
        <v>-1</v>
      </c>
      <c r="I19" s="549"/>
      <c r="J19" s="367">
        <f t="shared" si="4"/>
        <v>-1</v>
      </c>
    </row>
    <row r="20" spans="1:10">
      <c r="A20" s="812"/>
      <c r="B20" s="813"/>
      <c r="C20" s="367" t="str">
        <f>IFERROR(IF(ISTEXT(B18),"Implementácia",""),)</f>
        <v>Implementácia</v>
      </c>
      <c r="D20" s="364"/>
      <c r="E20" s="364"/>
      <c r="F20" s="364"/>
      <c r="G20" s="549">
        <v>7</v>
      </c>
      <c r="H20" s="367">
        <f t="shared" si="0"/>
        <v>6</v>
      </c>
      <c r="I20" s="549">
        <v>6</v>
      </c>
      <c r="J20" s="367">
        <f t="shared" si="4"/>
        <v>12</v>
      </c>
    </row>
    <row r="21" spans="1:10">
      <c r="A21" s="812"/>
      <c r="B21" s="813"/>
      <c r="C21" s="367" t="str">
        <f>IFERROR(IF(ISTEXT(B18),"Testovanie",""),)</f>
        <v>Testovanie</v>
      </c>
      <c r="D21" s="364"/>
      <c r="E21" s="364"/>
      <c r="F21" s="364"/>
      <c r="G21" s="549">
        <v>13</v>
      </c>
      <c r="H21" s="367">
        <f t="shared" si="0"/>
        <v>12</v>
      </c>
      <c r="I21" s="549">
        <v>4</v>
      </c>
      <c r="J21" s="367">
        <f t="shared" si="4"/>
        <v>16</v>
      </c>
    </row>
    <row r="22" spans="1:10">
      <c r="A22" s="812"/>
      <c r="B22" s="813"/>
      <c r="C22" s="367" t="str">
        <f>IFERROR(IF(ISTEXT(B18),"Nasadenie",""),)</f>
        <v>Nasadenie</v>
      </c>
      <c r="D22" s="364"/>
      <c r="E22" s="364"/>
      <c r="F22" s="364"/>
      <c r="G22" s="549">
        <v>17</v>
      </c>
      <c r="H22" s="367">
        <f t="shared" si="0"/>
        <v>16</v>
      </c>
      <c r="I22" s="367">
        <f>J22-H22</f>
        <v>3</v>
      </c>
      <c r="J22" s="367">
        <f>IFERROR(ROUND((F18-$E$3+1)/30,0),)</f>
        <v>19</v>
      </c>
    </row>
    <row r="23" spans="1:10">
      <c r="A23" s="812">
        <v>5</v>
      </c>
      <c r="B23" s="813" t="s">
        <v>250</v>
      </c>
      <c r="C23" s="367" t="str">
        <f>IFERROR(IF(ISTEXT(B23),"Analýza a dizajn",""),)</f>
        <v>Analýza a dizajn</v>
      </c>
      <c r="D23" s="367" t="str">
        <f>IFERROR(VLOOKUP(B23,MODULY_CBA!$B$3:$I$23,6,0),"")</f>
        <v>Inkrement 4</v>
      </c>
      <c r="E23" s="368">
        <f>IFERROR(VLOOKUP(D23,INKREMENTY!$A$2:$F$21,2,0),"")</f>
        <v>46174</v>
      </c>
      <c r="F23" s="368">
        <f>IFERROR(VLOOKUP(D23,INKREMENTY!$A$2:$F$21,4,0),"")</f>
        <v>46752</v>
      </c>
      <c r="G23" s="367">
        <f>IFERROR(ROUND(((E23-$E$3)+1)/30,0)+1,)</f>
        <v>1</v>
      </c>
      <c r="H23" s="367">
        <f t="shared" si="0"/>
        <v>0</v>
      </c>
      <c r="I23" s="549">
        <v>6</v>
      </c>
      <c r="J23" s="367">
        <f t="shared" ref="J23:J26" si="6">H23+I23</f>
        <v>6</v>
      </c>
    </row>
    <row r="24" spans="1:10">
      <c r="A24" s="812"/>
      <c r="B24" s="813"/>
      <c r="C24" s="367" t="str">
        <f>IFERROR(IF(ISTEXT(B23),"Nákupo HW a krabicový SW",""),)</f>
        <v>Nákupo HW a krabicový SW</v>
      </c>
      <c r="D24" s="364"/>
      <c r="E24" s="364"/>
      <c r="F24" s="364"/>
      <c r="G24" s="549"/>
      <c r="H24" s="367">
        <f t="shared" ref="H24" si="7">G24-1</f>
        <v>-1</v>
      </c>
      <c r="I24" s="549"/>
      <c r="J24" s="367">
        <f t="shared" si="6"/>
        <v>-1</v>
      </c>
    </row>
    <row r="25" spans="1:10">
      <c r="A25" s="812"/>
      <c r="B25" s="813"/>
      <c r="C25" s="367" t="str">
        <f>IFERROR(IF(ISTEXT(B23),"Implementácia",""),)</f>
        <v>Implementácia</v>
      </c>
      <c r="D25" s="364"/>
      <c r="E25" s="364"/>
      <c r="F25" s="364"/>
      <c r="G25" s="549">
        <v>7</v>
      </c>
      <c r="H25" s="367">
        <f t="shared" si="0"/>
        <v>6</v>
      </c>
      <c r="I25" s="549">
        <v>6</v>
      </c>
      <c r="J25" s="367">
        <f t="shared" si="6"/>
        <v>12</v>
      </c>
    </row>
    <row r="26" spans="1:10">
      <c r="A26" s="812"/>
      <c r="B26" s="813"/>
      <c r="C26" s="367" t="str">
        <f>IFERROR(IF(ISTEXT(B23),"Testovanie",""),)</f>
        <v>Testovanie</v>
      </c>
      <c r="D26" s="364"/>
      <c r="E26" s="364"/>
      <c r="F26" s="364"/>
      <c r="G26" s="549">
        <v>13</v>
      </c>
      <c r="H26" s="367">
        <f t="shared" si="0"/>
        <v>12</v>
      </c>
      <c r="I26" s="549">
        <v>4</v>
      </c>
      <c r="J26" s="367">
        <f t="shared" si="6"/>
        <v>16</v>
      </c>
    </row>
    <row r="27" spans="1:10">
      <c r="A27" s="812"/>
      <c r="B27" s="813"/>
      <c r="C27" s="367" t="str">
        <f>IFERROR(IF(ISTEXT(B23),"Nasadenie",""),)</f>
        <v>Nasadenie</v>
      </c>
      <c r="D27" s="364"/>
      <c r="E27" s="364"/>
      <c r="F27" s="364"/>
      <c r="G27" s="549">
        <v>17</v>
      </c>
      <c r="H27" s="367">
        <f t="shared" si="0"/>
        <v>16</v>
      </c>
      <c r="I27" s="367">
        <f>J27-H27</f>
        <v>3</v>
      </c>
      <c r="J27" s="367">
        <f>IFERROR(ROUND((F23-$E$3+1)/30,0),)</f>
        <v>19</v>
      </c>
    </row>
    <row r="28" spans="1:10">
      <c r="A28" s="812">
        <v>6</v>
      </c>
      <c r="B28" s="813" t="s">
        <v>253</v>
      </c>
      <c r="C28" s="367" t="str">
        <f>IFERROR(IF(ISTEXT(B28),"Analýza a dizajn",""),)</f>
        <v>Analýza a dizajn</v>
      </c>
      <c r="D28" s="367" t="str">
        <f>IFERROR(VLOOKUP(B28,MODULY_CBA!$B$3:$I$23,6,0),"")</f>
        <v>Inkrement 1</v>
      </c>
      <c r="E28" s="368">
        <f>IFERROR(VLOOKUP(D28,INKREMENTY!$A$2:$F$21,2,0),"")</f>
        <v>46174</v>
      </c>
      <c r="F28" s="368">
        <f>IFERROR(VLOOKUP(D28,INKREMENTY!$A$2:$F$21,4,0),"")</f>
        <v>46752</v>
      </c>
      <c r="G28" s="367">
        <f>IFERROR(ROUND(((E28-$E$3)+1)/30,0)+1,)</f>
        <v>1</v>
      </c>
      <c r="H28" s="367">
        <f t="shared" ref="H28:H91" si="8">G28-1</f>
        <v>0</v>
      </c>
      <c r="I28" s="549">
        <v>6</v>
      </c>
      <c r="J28" s="367">
        <f t="shared" ref="J28:J31" si="9">H28+I28</f>
        <v>6</v>
      </c>
    </row>
    <row r="29" spans="1:10">
      <c r="A29" s="812"/>
      <c r="B29" s="813"/>
      <c r="C29" s="367" t="str">
        <f>IFERROR(IF(ISTEXT(B28),"Nákupo HW a krabicový SW",""),)</f>
        <v>Nákupo HW a krabicový SW</v>
      </c>
      <c r="D29" s="364"/>
      <c r="E29" s="364"/>
      <c r="F29" s="364"/>
      <c r="G29" s="549"/>
      <c r="H29" s="367">
        <f t="shared" si="8"/>
        <v>-1</v>
      </c>
      <c r="I29" s="549"/>
      <c r="J29" s="367">
        <f t="shared" si="9"/>
        <v>-1</v>
      </c>
    </row>
    <row r="30" spans="1:10">
      <c r="A30" s="812"/>
      <c r="B30" s="813"/>
      <c r="C30" s="367" t="str">
        <f>IFERROR(IF(ISTEXT(B28),"Implementácia",""),)</f>
        <v>Implementácia</v>
      </c>
      <c r="D30" s="364"/>
      <c r="E30" s="364"/>
      <c r="F30" s="364"/>
      <c r="G30" s="549">
        <v>7</v>
      </c>
      <c r="H30" s="367">
        <f t="shared" si="8"/>
        <v>6</v>
      </c>
      <c r="I30" s="549">
        <v>6</v>
      </c>
      <c r="J30" s="367">
        <f t="shared" si="9"/>
        <v>12</v>
      </c>
    </row>
    <row r="31" spans="1:10">
      <c r="A31" s="812"/>
      <c r="B31" s="813"/>
      <c r="C31" s="367" t="str">
        <f>IFERROR(IF(ISTEXT(B28),"Testovanie",""),)</f>
        <v>Testovanie</v>
      </c>
      <c r="D31" s="364"/>
      <c r="E31" s="364"/>
      <c r="F31" s="364"/>
      <c r="G31" s="549">
        <v>13</v>
      </c>
      <c r="H31" s="367">
        <f t="shared" si="8"/>
        <v>12</v>
      </c>
      <c r="I31" s="549">
        <v>4</v>
      </c>
      <c r="J31" s="367">
        <f t="shared" si="9"/>
        <v>16</v>
      </c>
    </row>
    <row r="32" spans="1:10">
      <c r="A32" s="812"/>
      <c r="B32" s="813"/>
      <c r="C32" s="367" t="str">
        <f>IFERROR(IF(ISTEXT(B28),"Nasadenie",""),)</f>
        <v>Nasadenie</v>
      </c>
      <c r="D32" s="364"/>
      <c r="E32" s="364"/>
      <c r="F32" s="364"/>
      <c r="G32" s="549">
        <v>17</v>
      </c>
      <c r="H32" s="367">
        <f t="shared" si="8"/>
        <v>16</v>
      </c>
      <c r="I32" s="367">
        <f>J32-H32</f>
        <v>3</v>
      </c>
      <c r="J32" s="367">
        <f>IFERROR(ROUND((F28-$E$3+1)/30,0),)</f>
        <v>19</v>
      </c>
    </row>
    <row r="33" spans="1:10">
      <c r="A33" s="812">
        <v>7</v>
      </c>
      <c r="B33" s="813" t="s">
        <v>255</v>
      </c>
      <c r="C33" s="367" t="str">
        <f>IFERROR(IF(ISTEXT(B33),"Analýza a dizajn",""),)</f>
        <v>Analýza a dizajn</v>
      </c>
      <c r="D33" s="367" t="str">
        <f>IFERROR(VLOOKUP(B33,MODULY_CBA!$B$3:$I$23,6,0),"")</f>
        <v>Inkrement 2</v>
      </c>
      <c r="E33" s="368">
        <f>IFERROR(VLOOKUP(D33,INKREMENTY!$A$2:$F$21,2,0),"")</f>
        <v>46388</v>
      </c>
      <c r="F33" s="368">
        <f>IFERROR(VLOOKUP(D33,INKREMENTY!$A$2:$F$21,4,0),"")</f>
        <v>46934</v>
      </c>
      <c r="G33" s="367">
        <f>IFERROR(ROUND(((E33-$E$3)+1)/30,0)+1,)</f>
        <v>8</v>
      </c>
      <c r="H33" s="367">
        <f t="shared" si="8"/>
        <v>7</v>
      </c>
      <c r="I33" s="549">
        <v>6</v>
      </c>
      <c r="J33" s="367">
        <f t="shared" ref="J33:J36" si="10">H33+I33</f>
        <v>13</v>
      </c>
    </row>
    <row r="34" spans="1:10">
      <c r="A34" s="812"/>
      <c r="B34" s="813"/>
      <c r="C34" s="367" t="str">
        <f>IFERROR(IF(ISTEXT(B33),"Nákupo HW a krabicový SW",""),)</f>
        <v>Nákupo HW a krabicový SW</v>
      </c>
      <c r="D34" s="364"/>
      <c r="E34" s="364"/>
      <c r="F34" s="364"/>
      <c r="G34" s="549"/>
      <c r="H34" s="367">
        <f t="shared" si="8"/>
        <v>-1</v>
      </c>
      <c r="I34" s="549"/>
      <c r="J34" s="367">
        <f t="shared" si="10"/>
        <v>-1</v>
      </c>
    </row>
    <row r="35" spans="1:10">
      <c r="A35" s="812"/>
      <c r="B35" s="813"/>
      <c r="C35" s="367" t="str">
        <f>IFERROR(IF(ISTEXT(B33),"Implementácia",""),)</f>
        <v>Implementácia</v>
      </c>
      <c r="D35" s="364"/>
      <c r="E35" s="364"/>
      <c r="F35" s="364"/>
      <c r="G35" s="549">
        <v>13</v>
      </c>
      <c r="H35" s="367">
        <f t="shared" si="8"/>
        <v>12</v>
      </c>
      <c r="I35" s="549">
        <v>6</v>
      </c>
      <c r="J35" s="367">
        <f t="shared" si="10"/>
        <v>18</v>
      </c>
    </row>
    <row r="36" spans="1:10">
      <c r="A36" s="812"/>
      <c r="B36" s="813"/>
      <c r="C36" s="367" t="str">
        <f>IFERROR(IF(ISTEXT(B33),"Testovanie",""),)</f>
        <v>Testovanie</v>
      </c>
      <c r="D36" s="364"/>
      <c r="E36" s="364"/>
      <c r="F36" s="364"/>
      <c r="G36" s="549">
        <v>19</v>
      </c>
      <c r="H36" s="367">
        <f t="shared" si="8"/>
        <v>18</v>
      </c>
      <c r="I36" s="549">
        <v>4</v>
      </c>
      <c r="J36" s="367">
        <f t="shared" si="10"/>
        <v>22</v>
      </c>
    </row>
    <row r="37" spans="1:10">
      <c r="A37" s="812"/>
      <c r="B37" s="813"/>
      <c r="C37" s="367" t="str">
        <f>IFERROR(IF(ISTEXT(B33),"Nasadenie",""),)</f>
        <v>Nasadenie</v>
      </c>
      <c r="D37" s="364"/>
      <c r="E37" s="364"/>
      <c r="F37" s="364"/>
      <c r="G37" s="549">
        <v>23</v>
      </c>
      <c r="H37" s="367">
        <f t="shared" si="8"/>
        <v>22</v>
      </c>
      <c r="I37" s="367">
        <f>J37-H37</f>
        <v>3</v>
      </c>
      <c r="J37" s="367">
        <f>IFERROR(ROUND((F33-$E$3+1)/30,0),)</f>
        <v>25</v>
      </c>
    </row>
    <row r="38" spans="1:10">
      <c r="A38" s="812">
        <v>8</v>
      </c>
      <c r="B38" s="813" t="s">
        <v>258</v>
      </c>
      <c r="C38" s="367" t="str">
        <f>IFERROR(IF(ISTEXT(B38),"Analýza a dizajn",""),)</f>
        <v>Analýza a dizajn</v>
      </c>
      <c r="D38" s="367" t="str">
        <f>IFERROR(VLOOKUP(B38,MODULY_CBA!$B$3:$I$23,6,0),"")</f>
        <v>Inkrement 2</v>
      </c>
      <c r="E38" s="368">
        <f>IFERROR(VLOOKUP(D38,INKREMENTY!$A$2:$F$21,2,0),"")</f>
        <v>46388</v>
      </c>
      <c r="F38" s="368">
        <f>IFERROR(VLOOKUP(D38,INKREMENTY!$A$2:$F$21,4,0),"")</f>
        <v>46934</v>
      </c>
      <c r="G38" s="367">
        <f>IFERROR(ROUND(((E38-$E$3)+1)/30,0)+1,)</f>
        <v>8</v>
      </c>
      <c r="H38" s="367">
        <f t="shared" si="8"/>
        <v>7</v>
      </c>
      <c r="I38" s="549">
        <v>6</v>
      </c>
      <c r="J38" s="367">
        <f t="shared" ref="J38:J41" si="11">H38+I38</f>
        <v>13</v>
      </c>
    </row>
    <row r="39" spans="1:10">
      <c r="A39" s="812"/>
      <c r="B39" s="813"/>
      <c r="C39" s="367" t="str">
        <f>IFERROR(IF(ISTEXT(B38),"Nákupo HW a krabicový SW",""),)</f>
        <v>Nákupo HW a krabicový SW</v>
      </c>
      <c r="D39" s="364"/>
      <c r="E39" s="364"/>
      <c r="F39" s="364"/>
      <c r="G39" s="549"/>
      <c r="H39" s="367">
        <f t="shared" si="8"/>
        <v>-1</v>
      </c>
      <c r="I39" s="549"/>
      <c r="J39" s="367">
        <f t="shared" si="11"/>
        <v>-1</v>
      </c>
    </row>
    <row r="40" spans="1:10">
      <c r="A40" s="812"/>
      <c r="B40" s="813"/>
      <c r="C40" s="367" t="str">
        <f>IFERROR(IF(ISTEXT(B38),"Implementácia",""),)</f>
        <v>Implementácia</v>
      </c>
      <c r="D40" s="364"/>
      <c r="E40" s="364"/>
      <c r="F40" s="364"/>
      <c r="G40" s="549">
        <v>7</v>
      </c>
      <c r="H40" s="367">
        <f t="shared" si="8"/>
        <v>6</v>
      </c>
      <c r="I40" s="549">
        <v>6</v>
      </c>
      <c r="J40" s="367">
        <f t="shared" si="11"/>
        <v>12</v>
      </c>
    </row>
    <row r="41" spans="1:10">
      <c r="A41" s="812"/>
      <c r="B41" s="813"/>
      <c r="C41" s="367" t="str">
        <f>IFERROR(IF(ISTEXT(B38),"Testovanie",""),)</f>
        <v>Testovanie</v>
      </c>
      <c r="D41" s="364"/>
      <c r="E41" s="364"/>
      <c r="F41" s="364"/>
      <c r="G41" s="549">
        <v>13</v>
      </c>
      <c r="H41" s="367">
        <f t="shared" si="8"/>
        <v>12</v>
      </c>
      <c r="I41" s="549">
        <v>4</v>
      </c>
      <c r="J41" s="367">
        <f t="shared" si="11"/>
        <v>16</v>
      </c>
    </row>
    <row r="42" spans="1:10">
      <c r="A42" s="812"/>
      <c r="B42" s="813"/>
      <c r="C42" s="367" t="str">
        <f>IFERROR(IF(ISTEXT(B38),"Nasadenie",""),)</f>
        <v>Nasadenie</v>
      </c>
      <c r="D42" s="364"/>
      <c r="E42" s="364"/>
      <c r="F42" s="364"/>
      <c r="G42" s="549">
        <v>17</v>
      </c>
      <c r="H42" s="367">
        <f t="shared" si="8"/>
        <v>16</v>
      </c>
      <c r="I42" s="367">
        <f>J42-H42</f>
        <v>9</v>
      </c>
      <c r="J42" s="367">
        <f>IFERROR(ROUND((F38-$E$3+1)/30,0),)</f>
        <v>25</v>
      </c>
    </row>
    <row r="43" spans="1:10">
      <c r="A43" s="812">
        <v>9</v>
      </c>
      <c r="B43" s="813" t="s">
        <v>260</v>
      </c>
      <c r="C43" s="367" t="str">
        <f>IFERROR(IF(ISTEXT(B43),"Analýza a dizajn",""),)</f>
        <v>Analýza a dizajn</v>
      </c>
      <c r="D43" s="367" t="str">
        <f>IFERROR(VLOOKUP(B43,MODULY_CBA!$B$3:$I$23,6,0),"")</f>
        <v>Inkrement 2</v>
      </c>
      <c r="E43" s="368">
        <f>IFERROR(VLOOKUP(D43,INKREMENTY!$A$2:$F$21,2,0),"")</f>
        <v>46388</v>
      </c>
      <c r="F43" s="368">
        <f>IFERROR(VLOOKUP(D43,INKREMENTY!$A$2:$F$21,4,0),"")</f>
        <v>46934</v>
      </c>
      <c r="G43" s="367">
        <f>IFERROR(ROUND(((E43-$E$3)+1)/30,0)+1,)</f>
        <v>8</v>
      </c>
      <c r="H43" s="367">
        <f t="shared" si="8"/>
        <v>7</v>
      </c>
      <c r="I43" s="549">
        <v>6</v>
      </c>
      <c r="J43" s="367">
        <f t="shared" ref="J43:J46" si="12">H43+I43</f>
        <v>13</v>
      </c>
    </row>
    <row r="44" spans="1:10">
      <c r="A44" s="812"/>
      <c r="B44" s="813"/>
      <c r="C44" s="367" t="str">
        <f>IFERROR(IF(ISTEXT(B43),"Nákupo HW a krabicový SW",""),)</f>
        <v>Nákupo HW a krabicový SW</v>
      </c>
      <c r="D44" s="364"/>
      <c r="E44" s="364"/>
      <c r="F44" s="364"/>
      <c r="G44" s="549"/>
      <c r="H44" s="367">
        <f t="shared" si="8"/>
        <v>-1</v>
      </c>
      <c r="I44" s="549"/>
      <c r="J44" s="367">
        <f t="shared" si="12"/>
        <v>-1</v>
      </c>
    </row>
    <row r="45" spans="1:10">
      <c r="A45" s="812"/>
      <c r="B45" s="813"/>
      <c r="C45" s="367" t="str">
        <f>IFERROR(IF(ISTEXT(B43),"Implementácia",""),)</f>
        <v>Implementácia</v>
      </c>
      <c r="D45" s="364"/>
      <c r="E45" s="364"/>
      <c r="F45" s="364"/>
      <c r="G45" s="549">
        <v>13</v>
      </c>
      <c r="H45" s="367">
        <f t="shared" si="8"/>
        <v>12</v>
      </c>
      <c r="I45" s="549">
        <v>6</v>
      </c>
      <c r="J45" s="367">
        <f t="shared" si="12"/>
        <v>18</v>
      </c>
    </row>
    <row r="46" spans="1:10">
      <c r="A46" s="812"/>
      <c r="B46" s="813"/>
      <c r="C46" s="367" t="str">
        <f>IFERROR(IF(ISTEXT(B43),"Testovanie",""),)</f>
        <v>Testovanie</v>
      </c>
      <c r="D46" s="364"/>
      <c r="E46" s="364"/>
      <c r="F46" s="364"/>
      <c r="G46" s="549">
        <v>19</v>
      </c>
      <c r="H46" s="367">
        <f t="shared" si="8"/>
        <v>18</v>
      </c>
      <c r="I46" s="549">
        <v>4</v>
      </c>
      <c r="J46" s="367">
        <f t="shared" si="12"/>
        <v>22</v>
      </c>
    </row>
    <row r="47" spans="1:10">
      <c r="A47" s="812"/>
      <c r="B47" s="813"/>
      <c r="C47" s="367" t="str">
        <f>IFERROR(IF(ISTEXT(B43),"Nasadenie",""),)</f>
        <v>Nasadenie</v>
      </c>
      <c r="D47" s="364"/>
      <c r="E47" s="364"/>
      <c r="F47" s="364"/>
      <c r="G47" s="549">
        <v>23</v>
      </c>
      <c r="H47" s="367">
        <f t="shared" si="8"/>
        <v>22</v>
      </c>
      <c r="I47" s="367">
        <f>J47-H47</f>
        <v>3</v>
      </c>
      <c r="J47" s="367">
        <f>IFERROR(ROUND((F43-$E$3+1)/30,0),)</f>
        <v>25</v>
      </c>
    </row>
    <row r="48" spans="1:10">
      <c r="A48" s="812">
        <v>10</v>
      </c>
      <c r="B48" s="813" t="s">
        <v>262</v>
      </c>
      <c r="C48" s="367" t="str">
        <f>IFERROR(IF(ISTEXT(B48),"Analýza a dizajn",""),)</f>
        <v>Analýza a dizajn</v>
      </c>
      <c r="D48" s="367" t="str">
        <f>IFERROR(VLOOKUP(B48,MODULY_CBA!$B$3:$I$23,6,0),"")</f>
        <v>Inkrement 3</v>
      </c>
      <c r="E48" s="368">
        <f>IFERROR(VLOOKUP(D48,INKREMENTY!$A$2:$F$21,2,0),"")</f>
        <v>46539</v>
      </c>
      <c r="F48" s="368">
        <f>IFERROR(VLOOKUP(D48,INKREMENTY!$A$2:$F$21,4,0),"")</f>
        <v>47118</v>
      </c>
      <c r="G48" s="367">
        <f>IFERROR(ROUND(((E48-$E$3)+1)/30,0)+1,)</f>
        <v>13</v>
      </c>
      <c r="H48" s="367">
        <f t="shared" si="8"/>
        <v>12</v>
      </c>
      <c r="I48" s="549">
        <v>6</v>
      </c>
      <c r="J48" s="367">
        <f t="shared" ref="J48:J51" si="13">H48+I48</f>
        <v>18</v>
      </c>
    </row>
    <row r="49" spans="1:10">
      <c r="A49" s="812"/>
      <c r="B49" s="813"/>
      <c r="C49" s="367" t="str">
        <f>IFERROR(IF(ISTEXT(B48),"Nákupo HW a krabicový SW",""),)</f>
        <v>Nákupo HW a krabicový SW</v>
      </c>
      <c r="D49" s="364"/>
      <c r="E49" s="364"/>
      <c r="F49" s="364"/>
      <c r="G49" s="549"/>
      <c r="H49" s="367">
        <f t="shared" si="8"/>
        <v>-1</v>
      </c>
      <c r="I49" s="549"/>
      <c r="J49" s="367">
        <f t="shared" si="13"/>
        <v>-1</v>
      </c>
    </row>
    <row r="50" spans="1:10">
      <c r="A50" s="812"/>
      <c r="B50" s="813"/>
      <c r="C50" s="367" t="str">
        <f>IFERROR(IF(ISTEXT(B48),"Implementácia",""),)</f>
        <v>Implementácia</v>
      </c>
      <c r="D50" s="364"/>
      <c r="E50" s="364"/>
      <c r="F50" s="364"/>
      <c r="G50" s="549">
        <v>19</v>
      </c>
      <c r="H50" s="367">
        <f t="shared" si="8"/>
        <v>18</v>
      </c>
      <c r="I50" s="549">
        <v>6</v>
      </c>
      <c r="J50" s="367">
        <f t="shared" si="13"/>
        <v>24</v>
      </c>
    </row>
    <row r="51" spans="1:10">
      <c r="A51" s="812"/>
      <c r="B51" s="813"/>
      <c r="C51" s="367" t="str">
        <f>IFERROR(IF(ISTEXT(B48),"Testovanie",""),)</f>
        <v>Testovanie</v>
      </c>
      <c r="D51" s="364"/>
      <c r="E51" s="364"/>
      <c r="F51" s="364"/>
      <c r="G51" s="549">
        <v>25</v>
      </c>
      <c r="H51" s="367">
        <f t="shared" si="8"/>
        <v>24</v>
      </c>
      <c r="I51" s="549">
        <v>4</v>
      </c>
      <c r="J51" s="367">
        <f t="shared" si="13"/>
        <v>28</v>
      </c>
    </row>
    <row r="52" spans="1:10">
      <c r="A52" s="812"/>
      <c r="B52" s="813"/>
      <c r="C52" s="367" t="str">
        <f>IFERROR(IF(ISTEXT(B48),"Nasadenie",""),)</f>
        <v>Nasadenie</v>
      </c>
      <c r="D52" s="364"/>
      <c r="E52" s="364"/>
      <c r="F52" s="364"/>
      <c r="G52" s="549">
        <v>29</v>
      </c>
      <c r="H52" s="367">
        <f t="shared" si="8"/>
        <v>28</v>
      </c>
      <c r="I52" s="367">
        <f>J52-H52</f>
        <v>4</v>
      </c>
      <c r="J52" s="367">
        <f>IFERROR(ROUND((F48-$E$3+1)/30,0),)</f>
        <v>32</v>
      </c>
    </row>
    <row r="53" spans="1:10">
      <c r="A53" s="812">
        <v>11</v>
      </c>
      <c r="B53" s="813" t="s">
        <v>265</v>
      </c>
      <c r="C53" s="367" t="str">
        <f>IFERROR(IF(ISTEXT(B53),"Analýza a dizajn",""),)</f>
        <v>Analýza a dizajn</v>
      </c>
      <c r="D53" s="367" t="str">
        <f>IFERROR(VLOOKUP(B53,MODULY_CBA!$B$3:$I$23,6,0),"")</f>
        <v>Inkrement 5</v>
      </c>
      <c r="E53" s="368">
        <f>IFERROR(VLOOKUP(D53,INKREMENTY!$A$2:$F$21,2,0),"")</f>
        <v>46174</v>
      </c>
      <c r="F53" s="368">
        <f>IFERROR(VLOOKUP(D53,INKREMENTY!$A$2:$F$21,4,0),"")</f>
        <v>46752</v>
      </c>
      <c r="G53" s="367">
        <f>IFERROR(ROUND(((E53-$E$3)+1)/30,0)+1,)</f>
        <v>1</v>
      </c>
      <c r="H53" s="367">
        <f t="shared" si="8"/>
        <v>0</v>
      </c>
      <c r="I53" s="549">
        <v>6</v>
      </c>
      <c r="J53" s="367">
        <f t="shared" ref="J53:J56" si="14">H53+I53</f>
        <v>6</v>
      </c>
    </row>
    <row r="54" spans="1:10">
      <c r="A54" s="812"/>
      <c r="B54" s="813"/>
      <c r="C54" s="367" t="str">
        <f>IFERROR(IF(ISTEXT(B53),"Nákupo HW a krabicový SW",""),)</f>
        <v>Nákupo HW a krabicový SW</v>
      </c>
      <c r="D54" s="364"/>
      <c r="E54" s="364"/>
      <c r="F54" s="364"/>
      <c r="G54" s="549"/>
      <c r="H54" s="367">
        <f t="shared" si="8"/>
        <v>-1</v>
      </c>
      <c r="I54" s="549"/>
      <c r="J54" s="367">
        <f t="shared" si="14"/>
        <v>-1</v>
      </c>
    </row>
    <row r="55" spans="1:10">
      <c r="A55" s="812"/>
      <c r="B55" s="813"/>
      <c r="C55" s="367" t="str">
        <f>IFERROR(IF(ISTEXT(B53),"Implementácia",""),)</f>
        <v>Implementácia</v>
      </c>
      <c r="D55" s="364"/>
      <c r="E55" s="364"/>
      <c r="F55" s="364"/>
      <c r="G55" s="549">
        <v>19</v>
      </c>
      <c r="H55" s="367">
        <f t="shared" si="8"/>
        <v>18</v>
      </c>
      <c r="I55" s="549">
        <v>6</v>
      </c>
      <c r="J55" s="367">
        <f t="shared" si="14"/>
        <v>24</v>
      </c>
    </row>
    <row r="56" spans="1:10">
      <c r="A56" s="812"/>
      <c r="B56" s="813"/>
      <c r="C56" s="367" t="str">
        <f>IFERROR(IF(ISTEXT(B53),"Testovanie",""),)</f>
        <v>Testovanie</v>
      </c>
      <c r="D56" s="364"/>
      <c r="E56" s="364"/>
      <c r="F56" s="364"/>
      <c r="G56" s="549">
        <v>25</v>
      </c>
      <c r="H56" s="367">
        <f t="shared" si="8"/>
        <v>24</v>
      </c>
      <c r="I56" s="549">
        <v>4</v>
      </c>
      <c r="J56" s="367">
        <f t="shared" si="14"/>
        <v>28</v>
      </c>
    </row>
    <row r="57" spans="1:10">
      <c r="A57" s="812"/>
      <c r="B57" s="813"/>
      <c r="C57" s="367" t="str">
        <f>IFERROR(IF(ISTEXT(B53),"Nasadenie",""),)</f>
        <v>Nasadenie</v>
      </c>
      <c r="D57" s="364"/>
      <c r="E57" s="364"/>
      <c r="F57" s="364"/>
      <c r="G57" s="549">
        <v>29</v>
      </c>
      <c r="H57" s="367">
        <f t="shared" si="8"/>
        <v>28</v>
      </c>
      <c r="I57" s="367">
        <f>J57-H57</f>
        <v>-9</v>
      </c>
      <c r="J57" s="367">
        <f>IFERROR(ROUND((F53-$E$3+1)/30,0),)</f>
        <v>19</v>
      </c>
    </row>
    <row r="58" spans="1:10">
      <c r="A58" s="812">
        <v>12</v>
      </c>
      <c r="B58" s="813"/>
      <c r="C58" s="367" t="str">
        <f>IFERROR(IF(ISTEXT(B58),"Analýza a dizajn",""),)</f>
        <v/>
      </c>
      <c r="D58" s="367" t="str">
        <f>IFERROR(VLOOKUP(B58,MODULY_CBA!$B$3:$I$23,6,0),"")</f>
        <v/>
      </c>
      <c r="E58" s="368" t="str">
        <f>IFERROR(VLOOKUP(D58,INKREMENTY!$A$2:$F$21,2,0),"")</f>
        <v/>
      </c>
      <c r="F58" s="368" t="str">
        <f>IFERROR(VLOOKUP(D58,INKREMENTY!$A$2:$F$21,4,0),"")</f>
        <v/>
      </c>
      <c r="G58" s="367">
        <f>IFERROR(ROUND(((E58-$E$3)+1)/30,0)+1,)</f>
        <v>0</v>
      </c>
      <c r="H58" s="367">
        <f t="shared" si="8"/>
        <v>-1</v>
      </c>
      <c r="I58" s="549"/>
      <c r="J58" s="367">
        <f t="shared" ref="J58:J61" si="15">H58+I58</f>
        <v>-1</v>
      </c>
    </row>
    <row r="59" spans="1:10">
      <c r="A59" s="812"/>
      <c r="B59" s="813"/>
      <c r="C59" s="367" t="str">
        <f>IFERROR(IF(ISTEXT(B58),"Nákupo HW a krabicový SW",""),)</f>
        <v/>
      </c>
      <c r="D59" s="364"/>
      <c r="E59" s="364"/>
      <c r="F59" s="364"/>
      <c r="G59" s="549"/>
      <c r="H59" s="367">
        <f t="shared" si="8"/>
        <v>-1</v>
      </c>
      <c r="I59" s="549"/>
      <c r="J59" s="367">
        <f t="shared" si="15"/>
        <v>-1</v>
      </c>
    </row>
    <row r="60" spans="1:10">
      <c r="A60" s="812"/>
      <c r="B60" s="813"/>
      <c r="C60" s="367" t="str">
        <f>IFERROR(IF(ISTEXT(B58),"Implementácia",""),)</f>
        <v/>
      </c>
      <c r="D60" s="364"/>
      <c r="E60" s="364"/>
      <c r="F60" s="364"/>
      <c r="G60" s="549"/>
      <c r="H60" s="367">
        <f t="shared" si="8"/>
        <v>-1</v>
      </c>
      <c r="I60" s="549"/>
      <c r="J60" s="367">
        <f t="shared" si="15"/>
        <v>-1</v>
      </c>
    </row>
    <row r="61" spans="1:10">
      <c r="A61" s="812"/>
      <c r="B61" s="813"/>
      <c r="C61" s="367" t="str">
        <f>IFERROR(IF(ISTEXT(B58),"Testovanie",""),)</f>
        <v/>
      </c>
      <c r="D61" s="364"/>
      <c r="E61" s="364"/>
      <c r="F61" s="364"/>
      <c r="G61" s="549"/>
      <c r="H61" s="367">
        <f t="shared" si="8"/>
        <v>-1</v>
      </c>
      <c r="I61" s="549"/>
      <c r="J61" s="367">
        <f t="shared" si="15"/>
        <v>-1</v>
      </c>
    </row>
    <row r="62" spans="1:10">
      <c r="A62" s="812"/>
      <c r="B62" s="813"/>
      <c r="C62" s="367" t="str">
        <f>IFERROR(IF(ISTEXT(B58),"Nasadenie",""),)</f>
        <v/>
      </c>
      <c r="D62" s="364"/>
      <c r="E62" s="364"/>
      <c r="F62" s="364"/>
      <c r="G62" s="549"/>
      <c r="H62" s="367">
        <f t="shared" si="8"/>
        <v>-1</v>
      </c>
      <c r="I62" s="367">
        <f>J62-H62</f>
        <v>1</v>
      </c>
      <c r="J62" s="367">
        <f>IFERROR(ROUND((F58-$E$3+1)/30,0),)</f>
        <v>0</v>
      </c>
    </row>
    <row r="63" spans="1:10">
      <c r="A63" s="812">
        <v>13</v>
      </c>
      <c r="B63" s="813"/>
      <c r="C63" s="367" t="str">
        <f>IFERROR(IF(ISTEXT(B63),"Analýza a dizajn",""),)</f>
        <v/>
      </c>
      <c r="D63" s="367" t="str">
        <f>IFERROR(VLOOKUP(B63,MODULY_CBA!$B$3:$I$23,6,0),"")</f>
        <v/>
      </c>
      <c r="E63" s="368" t="str">
        <f>IFERROR(VLOOKUP(D63,INKREMENTY!$A$2:$F$21,2,0),"")</f>
        <v/>
      </c>
      <c r="F63" s="368" t="str">
        <f>IFERROR(VLOOKUP(D63,INKREMENTY!$A$2:$F$21,4,0),"")</f>
        <v/>
      </c>
      <c r="G63" s="367">
        <f>IFERROR(ROUND(((E63-$E$3)+1)/30,0)+1,)</f>
        <v>0</v>
      </c>
      <c r="H63" s="367">
        <f t="shared" si="8"/>
        <v>-1</v>
      </c>
      <c r="I63" s="549"/>
      <c r="J63" s="367">
        <f t="shared" ref="J63:J66" si="16">H63+I63</f>
        <v>-1</v>
      </c>
    </row>
    <row r="64" spans="1:10">
      <c r="A64" s="812"/>
      <c r="B64" s="813"/>
      <c r="C64" s="367" t="str">
        <f>IFERROR(IF(ISTEXT(B63),"Nákupo HW a krabicový SW",""),)</f>
        <v/>
      </c>
      <c r="D64" s="364"/>
      <c r="E64" s="364"/>
      <c r="F64" s="364"/>
      <c r="G64" s="549"/>
      <c r="H64" s="367">
        <f t="shared" si="8"/>
        <v>-1</v>
      </c>
      <c r="I64" s="549"/>
      <c r="J64" s="367">
        <f t="shared" si="16"/>
        <v>-1</v>
      </c>
    </row>
    <row r="65" spans="1:10">
      <c r="A65" s="812"/>
      <c r="B65" s="813"/>
      <c r="C65" s="367" t="str">
        <f>IFERROR(IF(ISTEXT(B63),"Implementácia",""),)</f>
        <v/>
      </c>
      <c r="D65" s="364"/>
      <c r="E65" s="364"/>
      <c r="F65" s="364"/>
      <c r="G65" s="549"/>
      <c r="H65" s="367">
        <f t="shared" si="8"/>
        <v>-1</v>
      </c>
      <c r="I65" s="549"/>
      <c r="J65" s="367">
        <f t="shared" si="16"/>
        <v>-1</v>
      </c>
    </row>
    <row r="66" spans="1:10">
      <c r="A66" s="812"/>
      <c r="B66" s="813"/>
      <c r="C66" s="367" t="str">
        <f>IFERROR(IF(ISTEXT(B63),"Testovanie",""),)</f>
        <v/>
      </c>
      <c r="D66" s="364"/>
      <c r="E66" s="364"/>
      <c r="F66" s="364"/>
      <c r="G66" s="549"/>
      <c r="H66" s="367">
        <f t="shared" si="8"/>
        <v>-1</v>
      </c>
      <c r="I66" s="549"/>
      <c r="J66" s="367">
        <f t="shared" si="16"/>
        <v>-1</v>
      </c>
    </row>
    <row r="67" spans="1:10">
      <c r="A67" s="812"/>
      <c r="B67" s="813"/>
      <c r="C67" s="367" t="str">
        <f>IFERROR(IF(ISTEXT(B63),"Nasadenie",""),)</f>
        <v/>
      </c>
      <c r="D67" s="364"/>
      <c r="E67" s="364"/>
      <c r="F67" s="364"/>
      <c r="G67" s="549"/>
      <c r="H67" s="367">
        <f t="shared" si="8"/>
        <v>-1</v>
      </c>
      <c r="I67" s="367">
        <f>J67-H67</f>
        <v>1</v>
      </c>
      <c r="J67" s="367">
        <f>IFERROR(ROUND((F63-$E$3+1)/30,0),)</f>
        <v>0</v>
      </c>
    </row>
    <row r="68" spans="1:10">
      <c r="A68" s="812">
        <v>14</v>
      </c>
      <c r="B68" s="813"/>
      <c r="C68" s="367" t="str">
        <f>IFERROR(IF(ISTEXT(B68),"Analýza a dizajn",""),)</f>
        <v/>
      </c>
      <c r="D68" s="367" t="str">
        <f>IFERROR(VLOOKUP(B68,MODULY_CBA!$B$3:$I$23,6,0),"")</f>
        <v/>
      </c>
      <c r="E68" s="368" t="str">
        <f>IFERROR(VLOOKUP(D68,INKREMENTY!$A$2:$F$21,2,0),"")</f>
        <v/>
      </c>
      <c r="F68" s="368" t="str">
        <f>IFERROR(VLOOKUP(D68,INKREMENTY!$A$2:$F$21,4,0),"")</f>
        <v/>
      </c>
      <c r="G68" s="367">
        <f>IFERROR(ROUND(((E68-$E$3)+1)/30,0)+1,)</f>
        <v>0</v>
      </c>
      <c r="H68" s="367">
        <f t="shared" si="8"/>
        <v>-1</v>
      </c>
      <c r="I68" s="549"/>
      <c r="J68" s="367">
        <f t="shared" ref="J68:J71" si="17">H68+I68</f>
        <v>-1</v>
      </c>
    </row>
    <row r="69" spans="1:10">
      <c r="A69" s="812"/>
      <c r="B69" s="813"/>
      <c r="C69" s="367" t="str">
        <f>IFERROR(IF(ISTEXT(B68),"Nákupo HW a krabicový SW",""),)</f>
        <v/>
      </c>
      <c r="D69" s="364"/>
      <c r="E69" s="364"/>
      <c r="F69" s="364"/>
      <c r="G69" s="549"/>
      <c r="H69" s="367">
        <f t="shared" si="8"/>
        <v>-1</v>
      </c>
      <c r="I69" s="549"/>
      <c r="J69" s="367">
        <f t="shared" si="17"/>
        <v>-1</v>
      </c>
    </row>
    <row r="70" spans="1:10">
      <c r="A70" s="812"/>
      <c r="B70" s="813"/>
      <c r="C70" s="367" t="str">
        <f>IFERROR(IF(ISTEXT(B68),"Implementácia",""),)</f>
        <v/>
      </c>
      <c r="D70" s="364"/>
      <c r="E70" s="364"/>
      <c r="F70" s="364"/>
      <c r="G70" s="549"/>
      <c r="H70" s="367">
        <f t="shared" si="8"/>
        <v>-1</v>
      </c>
      <c r="I70" s="549"/>
      <c r="J70" s="367">
        <f t="shared" si="17"/>
        <v>-1</v>
      </c>
    </row>
    <row r="71" spans="1:10">
      <c r="A71" s="812"/>
      <c r="B71" s="813"/>
      <c r="C71" s="367" t="str">
        <f>IFERROR(IF(ISTEXT(B68),"Testovanie",""),)</f>
        <v/>
      </c>
      <c r="D71" s="364"/>
      <c r="E71" s="364"/>
      <c r="F71" s="364"/>
      <c r="G71" s="549"/>
      <c r="H71" s="367">
        <f t="shared" si="8"/>
        <v>-1</v>
      </c>
      <c r="I71" s="549"/>
      <c r="J71" s="367">
        <f t="shared" si="17"/>
        <v>-1</v>
      </c>
    </row>
    <row r="72" spans="1:10">
      <c r="A72" s="812"/>
      <c r="B72" s="813"/>
      <c r="C72" s="367" t="str">
        <f>IFERROR(IF(ISTEXT(B68),"Nasadenie",""),)</f>
        <v/>
      </c>
      <c r="D72" s="364"/>
      <c r="E72" s="364"/>
      <c r="F72" s="364"/>
      <c r="G72" s="549"/>
      <c r="H72" s="367">
        <f t="shared" si="8"/>
        <v>-1</v>
      </c>
      <c r="I72" s="367">
        <f>J72-H72</f>
        <v>1</v>
      </c>
      <c r="J72" s="367">
        <f>IFERROR(ROUND((F68-$E$3+1)/30,0),)</f>
        <v>0</v>
      </c>
    </row>
    <row r="73" spans="1:10">
      <c r="A73" s="812">
        <v>15</v>
      </c>
      <c r="B73" s="813"/>
      <c r="C73" s="367" t="str">
        <f>IFERROR(IF(ISTEXT(B73),"Analýza a dizajn",""),)</f>
        <v/>
      </c>
      <c r="D73" s="367" t="str">
        <f>IFERROR(VLOOKUP(B73,MODULY_CBA!$B$3:$I$23,6,0),"")</f>
        <v/>
      </c>
      <c r="E73" s="368" t="str">
        <f>IFERROR(VLOOKUP(D73,INKREMENTY!$A$2:$F$21,2,0),"")</f>
        <v/>
      </c>
      <c r="F73" s="368" t="str">
        <f>IFERROR(VLOOKUP(D73,INKREMENTY!$A$2:$F$21,4,0),"")</f>
        <v/>
      </c>
      <c r="G73" s="367">
        <f>IFERROR(ROUND(((E73-$E$3)+1)/30,0)+1,)</f>
        <v>0</v>
      </c>
      <c r="H73" s="367">
        <f t="shared" si="8"/>
        <v>-1</v>
      </c>
      <c r="I73" s="549"/>
      <c r="J73" s="367">
        <f t="shared" ref="J73:J76" si="18">H73+I73</f>
        <v>-1</v>
      </c>
    </row>
    <row r="74" spans="1:10">
      <c r="A74" s="812"/>
      <c r="B74" s="813"/>
      <c r="C74" s="367" t="str">
        <f>IFERROR(IF(ISTEXT(B73),"Nákupo HW a krabicový SW",""),)</f>
        <v/>
      </c>
      <c r="D74" s="364"/>
      <c r="E74" s="364"/>
      <c r="F74" s="364"/>
      <c r="G74" s="549"/>
      <c r="H74" s="367">
        <f t="shared" si="8"/>
        <v>-1</v>
      </c>
      <c r="I74" s="549"/>
      <c r="J74" s="367">
        <f t="shared" si="18"/>
        <v>-1</v>
      </c>
    </row>
    <row r="75" spans="1:10">
      <c r="A75" s="812"/>
      <c r="B75" s="813"/>
      <c r="C75" s="367" t="str">
        <f>IFERROR(IF(ISTEXT(B73),"Implementácia",""),)</f>
        <v/>
      </c>
      <c r="D75" s="364"/>
      <c r="E75" s="364"/>
      <c r="F75" s="364"/>
      <c r="G75" s="549"/>
      <c r="H75" s="367">
        <f t="shared" si="8"/>
        <v>-1</v>
      </c>
      <c r="I75" s="549"/>
      <c r="J75" s="367">
        <f t="shared" si="18"/>
        <v>-1</v>
      </c>
    </row>
    <row r="76" spans="1:10">
      <c r="A76" s="812"/>
      <c r="B76" s="813"/>
      <c r="C76" s="367" t="str">
        <f>IFERROR(IF(ISTEXT(B73),"Testovanie",""),)</f>
        <v/>
      </c>
      <c r="D76" s="364"/>
      <c r="E76" s="364"/>
      <c r="F76" s="364"/>
      <c r="G76" s="549"/>
      <c r="H76" s="367">
        <f t="shared" si="8"/>
        <v>-1</v>
      </c>
      <c r="I76" s="549"/>
      <c r="J76" s="367">
        <f t="shared" si="18"/>
        <v>-1</v>
      </c>
    </row>
    <row r="77" spans="1:10">
      <c r="A77" s="812"/>
      <c r="B77" s="813"/>
      <c r="C77" s="367" t="str">
        <f>IFERROR(IF(ISTEXT(B73),"Nasadenie",""),)</f>
        <v/>
      </c>
      <c r="D77" s="364"/>
      <c r="E77" s="364"/>
      <c r="F77" s="364"/>
      <c r="G77" s="549"/>
      <c r="H77" s="367">
        <f t="shared" si="8"/>
        <v>-1</v>
      </c>
      <c r="I77" s="367">
        <f>J77-H77</f>
        <v>1</v>
      </c>
      <c r="J77" s="367">
        <f>IFERROR(ROUND((F73-$E$3+1)/30,0),)</f>
        <v>0</v>
      </c>
    </row>
    <row r="78" spans="1:10">
      <c r="A78" s="812">
        <v>16</v>
      </c>
      <c r="B78" s="813"/>
      <c r="C78" s="367" t="str">
        <f>IFERROR(IF(ISTEXT(B78),"Analýza a dizajn",""),)</f>
        <v/>
      </c>
      <c r="D78" s="367" t="str">
        <f>IFERROR(VLOOKUP(B78,MODULY_CBA!$B$3:$I$23,6,0),"")</f>
        <v/>
      </c>
      <c r="E78" s="368" t="str">
        <f>IFERROR(VLOOKUP(D78,INKREMENTY!$A$2:$F$21,2,0),"")</f>
        <v/>
      </c>
      <c r="F78" s="368" t="str">
        <f>IFERROR(VLOOKUP(D78,INKREMENTY!$A$2:$F$21,4,0),"")</f>
        <v/>
      </c>
      <c r="G78" s="367">
        <f>IFERROR(ROUND(((E78-$E$3)+1)/30,0)+1,)</f>
        <v>0</v>
      </c>
      <c r="H78" s="367">
        <f t="shared" si="8"/>
        <v>-1</v>
      </c>
      <c r="I78" s="549"/>
      <c r="J78" s="367">
        <f t="shared" ref="J78:J81" si="19">H78+I78</f>
        <v>-1</v>
      </c>
    </row>
    <row r="79" spans="1:10">
      <c r="A79" s="812"/>
      <c r="B79" s="813"/>
      <c r="C79" s="367" t="str">
        <f>IFERROR(IF(ISTEXT(B78),"Nákupo HW a krabicový SW",""),)</f>
        <v/>
      </c>
      <c r="D79" s="364"/>
      <c r="E79" s="364"/>
      <c r="F79" s="364"/>
      <c r="G79" s="549"/>
      <c r="H79" s="367">
        <f t="shared" si="8"/>
        <v>-1</v>
      </c>
      <c r="I79" s="549"/>
      <c r="J79" s="367">
        <f t="shared" si="19"/>
        <v>-1</v>
      </c>
    </row>
    <row r="80" spans="1:10">
      <c r="A80" s="812"/>
      <c r="B80" s="813"/>
      <c r="C80" s="367" t="str">
        <f>IFERROR(IF(ISTEXT(B78),"Implementácia",""),)</f>
        <v/>
      </c>
      <c r="D80" s="364"/>
      <c r="E80" s="364"/>
      <c r="F80" s="364"/>
      <c r="G80" s="549"/>
      <c r="H80" s="367">
        <f t="shared" si="8"/>
        <v>-1</v>
      </c>
      <c r="I80" s="549"/>
      <c r="J80" s="367">
        <f t="shared" si="19"/>
        <v>-1</v>
      </c>
    </row>
    <row r="81" spans="1:10">
      <c r="A81" s="812"/>
      <c r="B81" s="813"/>
      <c r="C81" s="367" t="str">
        <f>IFERROR(IF(ISTEXT(B78),"Testovanie",""),)</f>
        <v/>
      </c>
      <c r="D81" s="364"/>
      <c r="E81" s="364"/>
      <c r="F81" s="364"/>
      <c r="G81" s="549"/>
      <c r="H81" s="367">
        <f t="shared" si="8"/>
        <v>-1</v>
      </c>
      <c r="I81" s="549"/>
      <c r="J81" s="367">
        <f t="shared" si="19"/>
        <v>-1</v>
      </c>
    </row>
    <row r="82" spans="1:10">
      <c r="A82" s="812"/>
      <c r="B82" s="813"/>
      <c r="C82" s="367" t="str">
        <f>IFERROR(IF(ISTEXT(B78),"Nasadenie",""),)</f>
        <v/>
      </c>
      <c r="D82" s="364"/>
      <c r="E82" s="364"/>
      <c r="F82" s="364"/>
      <c r="G82" s="549"/>
      <c r="H82" s="367">
        <f t="shared" si="8"/>
        <v>-1</v>
      </c>
      <c r="I82" s="367">
        <f>J82-H82</f>
        <v>1</v>
      </c>
      <c r="J82" s="367">
        <f>IFERROR(ROUND((F78-$E$3+1)/30,0),)</f>
        <v>0</v>
      </c>
    </row>
    <row r="83" spans="1:10">
      <c r="A83" s="812">
        <v>17</v>
      </c>
      <c r="B83" s="813"/>
      <c r="C83" s="367" t="str">
        <f>IFERROR(IF(ISTEXT(B83),"Analýza a dizajn",""),)</f>
        <v/>
      </c>
      <c r="D83" s="367" t="str">
        <f>IFERROR(VLOOKUP(B83,MODULY_CBA!$B$3:$I$23,6,0),"")</f>
        <v/>
      </c>
      <c r="E83" s="368" t="str">
        <f>IFERROR(VLOOKUP(D83,INKREMENTY!$A$2:$F$21,2,0),"")</f>
        <v/>
      </c>
      <c r="F83" s="368" t="str">
        <f>IFERROR(VLOOKUP(D83,INKREMENTY!$A$2:$F$21,4,0),"")</f>
        <v/>
      </c>
      <c r="G83" s="367">
        <f>IFERROR(ROUND(((E83-$E$3)+1)/30,0)+1,)</f>
        <v>0</v>
      </c>
      <c r="H83" s="367">
        <f t="shared" si="8"/>
        <v>-1</v>
      </c>
      <c r="I83" s="549"/>
      <c r="J83" s="367">
        <f t="shared" ref="J83:J86" si="20">H83+I83</f>
        <v>-1</v>
      </c>
    </row>
    <row r="84" spans="1:10">
      <c r="A84" s="812"/>
      <c r="B84" s="813"/>
      <c r="C84" s="367" t="str">
        <f>IFERROR(IF(ISTEXT(B83),"Nákupo HW a krabicový SW",""),)</f>
        <v/>
      </c>
      <c r="D84" s="364"/>
      <c r="E84" s="364"/>
      <c r="F84" s="364"/>
      <c r="G84" s="549"/>
      <c r="H84" s="367">
        <f t="shared" si="8"/>
        <v>-1</v>
      </c>
      <c r="I84" s="549"/>
      <c r="J84" s="367">
        <f t="shared" si="20"/>
        <v>-1</v>
      </c>
    </row>
    <row r="85" spans="1:10">
      <c r="A85" s="812"/>
      <c r="B85" s="813"/>
      <c r="C85" s="367" t="str">
        <f>IFERROR(IF(ISTEXT(B83),"Implementácia",""),)</f>
        <v/>
      </c>
      <c r="D85" s="364"/>
      <c r="E85" s="364"/>
      <c r="F85" s="364"/>
      <c r="G85" s="549"/>
      <c r="H85" s="367">
        <f t="shared" si="8"/>
        <v>-1</v>
      </c>
      <c r="I85" s="549"/>
      <c r="J85" s="367">
        <f t="shared" si="20"/>
        <v>-1</v>
      </c>
    </row>
    <row r="86" spans="1:10">
      <c r="A86" s="812"/>
      <c r="B86" s="813"/>
      <c r="C86" s="367" t="str">
        <f>IFERROR(IF(ISTEXT(B83),"Testovanie",""),)</f>
        <v/>
      </c>
      <c r="D86" s="364"/>
      <c r="E86" s="364"/>
      <c r="F86" s="364"/>
      <c r="G86" s="549"/>
      <c r="H86" s="367">
        <f t="shared" si="8"/>
        <v>-1</v>
      </c>
      <c r="I86" s="549"/>
      <c r="J86" s="367">
        <f t="shared" si="20"/>
        <v>-1</v>
      </c>
    </row>
    <row r="87" spans="1:10">
      <c r="A87" s="812"/>
      <c r="B87" s="813"/>
      <c r="C87" s="367" t="str">
        <f>IFERROR(IF(ISTEXT(B83),"Nasadenie",""),)</f>
        <v/>
      </c>
      <c r="D87" s="364"/>
      <c r="E87" s="364"/>
      <c r="F87" s="364"/>
      <c r="G87" s="549"/>
      <c r="H87" s="367">
        <f t="shared" si="8"/>
        <v>-1</v>
      </c>
      <c r="I87" s="367">
        <f>J87-H87</f>
        <v>1</v>
      </c>
      <c r="J87" s="367">
        <f>IFERROR(ROUND((F83-$E$3+1)/30,0),)</f>
        <v>0</v>
      </c>
    </row>
    <row r="88" spans="1:10">
      <c r="A88" s="812">
        <v>18</v>
      </c>
      <c r="B88" s="813"/>
      <c r="C88" s="367" t="str">
        <f>IFERROR(IF(ISTEXT(B88),"Analýza a dizajn",""),)</f>
        <v/>
      </c>
      <c r="D88" s="367" t="str">
        <f>IFERROR(VLOOKUP(B88,MODULY_CBA!$B$3:$I$23,6,0),"")</f>
        <v/>
      </c>
      <c r="E88" s="368" t="str">
        <f>IFERROR(VLOOKUP(D88,INKREMENTY!$A$2:$F$21,2,0),"")</f>
        <v/>
      </c>
      <c r="F88" s="368" t="str">
        <f>IFERROR(VLOOKUP(D88,INKREMENTY!$A$2:$F$21,4,0),"")</f>
        <v/>
      </c>
      <c r="G88" s="367">
        <f>IFERROR(ROUND(((E88-$E$3)+1)/30,0)+1,)</f>
        <v>0</v>
      </c>
      <c r="H88" s="367">
        <f t="shared" si="8"/>
        <v>-1</v>
      </c>
      <c r="I88" s="549"/>
      <c r="J88" s="367">
        <f t="shared" ref="J88:J91" si="21">H88+I88</f>
        <v>-1</v>
      </c>
    </row>
    <row r="89" spans="1:10">
      <c r="A89" s="812"/>
      <c r="B89" s="813"/>
      <c r="C89" s="367" t="str">
        <f>IFERROR(IF(ISTEXT(B88),"Nákupo HW a krabicový SW",""),)</f>
        <v/>
      </c>
      <c r="D89" s="364"/>
      <c r="E89" s="364"/>
      <c r="F89" s="364"/>
      <c r="G89" s="549"/>
      <c r="H89" s="367">
        <f t="shared" si="8"/>
        <v>-1</v>
      </c>
      <c r="I89" s="549"/>
      <c r="J89" s="367">
        <f t="shared" si="21"/>
        <v>-1</v>
      </c>
    </row>
    <row r="90" spans="1:10">
      <c r="A90" s="812"/>
      <c r="B90" s="813"/>
      <c r="C90" s="367" t="str">
        <f>IFERROR(IF(ISTEXT(B88),"Implementácia",""),)</f>
        <v/>
      </c>
      <c r="D90" s="364"/>
      <c r="E90" s="364"/>
      <c r="F90" s="364"/>
      <c r="G90" s="549"/>
      <c r="H90" s="367">
        <f t="shared" si="8"/>
        <v>-1</v>
      </c>
      <c r="I90" s="549"/>
      <c r="J90" s="367">
        <f t="shared" si="21"/>
        <v>-1</v>
      </c>
    </row>
    <row r="91" spans="1:10">
      <c r="A91" s="812"/>
      <c r="B91" s="813"/>
      <c r="C91" s="367" t="str">
        <f>IFERROR(IF(ISTEXT(B88),"Testovanie",""),)</f>
        <v/>
      </c>
      <c r="D91" s="364"/>
      <c r="E91" s="364"/>
      <c r="F91" s="364"/>
      <c r="G91" s="549"/>
      <c r="H91" s="367">
        <f t="shared" si="8"/>
        <v>-1</v>
      </c>
      <c r="I91" s="549"/>
      <c r="J91" s="367">
        <f t="shared" si="21"/>
        <v>-1</v>
      </c>
    </row>
    <row r="92" spans="1:10">
      <c r="A92" s="812"/>
      <c r="B92" s="813"/>
      <c r="C92" s="367" t="str">
        <f>IFERROR(IF(ISTEXT(B88),"Nasadenie",""),)</f>
        <v/>
      </c>
      <c r="D92" s="364"/>
      <c r="E92" s="364"/>
      <c r="F92" s="364"/>
      <c r="G92" s="549"/>
      <c r="H92" s="367">
        <f t="shared" ref="H92:H107" si="22">G92-1</f>
        <v>-1</v>
      </c>
      <c r="I92" s="367">
        <f>J92-H92</f>
        <v>1</v>
      </c>
      <c r="J92" s="367">
        <f>IFERROR(ROUND((F88-$E$3+1)/30,0),)</f>
        <v>0</v>
      </c>
    </row>
    <row r="93" spans="1:10">
      <c r="A93" s="812">
        <v>19</v>
      </c>
      <c r="B93" s="813"/>
      <c r="C93" s="367" t="str">
        <f>IFERROR(IF(ISTEXT(B93),"Analýza a dizajn",""),)</f>
        <v/>
      </c>
      <c r="D93" s="367" t="str">
        <f>IFERROR(VLOOKUP(B93,MODULY_CBA!$B$3:$I$23,6,0),"")</f>
        <v/>
      </c>
      <c r="E93" s="368" t="str">
        <f>IFERROR(VLOOKUP(D93,INKREMENTY!$A$2:$F$21,2,0),"")</f>
        <v/>
      </c>
      <c r="F93" s="368" t="str">
        <f>IFERROR(VLOOKUP(D93,INKREMENTY!$A$2:$F$21,4,0),"")</f>
        <v/>
      </c>
      <c r="G93" s="367">
        <f>IFERROR(ROUND(((E93-$E$3)+1)/30,0)+1,)</f>
        <v>0</v>
      </c>
      <c r="H93" s="367">
        <f t="shared" si="22"/>
        <v>-1</v>
      </c>
      <c r="I93" s="549"/>
      <c r="J93" s="367">
        <f t="shared" ref="J93:J96" si="23">H93+I93</f>
        <v>-1</v>
      </c>
    </row>
    <row r="94" spans="1:10">
      <c r="A94" s="812"/>
      <c r="B94" s="813"/>
      <c r="C94" s="367" t="str">
        <f>IFERROR(IF(ISTEXT(B93),"Nákupo HW a krabicový SW",""),)</f>
        <v/>
      </c>
      <c r="D94" s="364"/>
      <c r="E94" s="364"/>
      <c r="F94" s="364"/>
      <c r="G94" s="549"/>
      <c r="H94" s="367">
        <f t="shared" si="22"/>
        <v>-1</v>
      </c>
      <c r="I94" s="549"/>
      <c r="J94" s="367">
        <f t="shared" si="23"/>
        <v>-1</v>
      </c>
    </row>
    <row r="95" spans="1:10">
      <c r="A95" s="812"/>
      <c r="B95" s="813"/>
      <c r="C95" s="367" t="str">
        <f>IFERROR(IF(ISTEXT(B93),"Implementácia",""),)</f>
        <v/>
      </c>
      <c r="D95" s="364"/>
      <c r="E95" s="364"/>
      <c r="F95" s="364"/>
      <c r="G95" s="549"/>
      <c r="H95" s="367">
        <f t="shared" si="22"/>
        <v>-1</v>
      </c>
      <c r="I95" s="549"/>
      <c r="J95" s="367">
        <f t="shared" si="23"/>
        <v>-1</v>
      </c>
    </row>
    <row r="96" spans="1:10">
      <c r="A96" s="812"/>
      <c r="B96" s="813"/>
      <c r="C96" s="367" t="str">
        <f>IFERROR(IF(ISTEXT(B93),"Testovanie",""),)</f>
        <v/>
      </c>
      <c r="D96" s="364"/>
      <c r="E96" s="364"/>
      <c r="F96" s="364"/>
      <c r="G96" s="549"/>
      <c r="H96" s="367">
        <f t="shared" si="22"/>
        <v>-1</v>
      </c>
      <c r="I96" s="549"/>
      <c r="J96" s="367">
        <f t="shared" si="23"/>
        <v>-1</v>
      </c>
    </row>
    <row r="97" spans="1:10">
      <c r="A97" s="812"/>
      <c r="B97" s="813"/>
      <c r="C97" s="367" t="str">
        <f>IFERROR(IF(ISTEXT(B93),"Nasadenie",""),)</f>
        <v/>
      </c>
      <c r="D97" s="364"/>
      <c r="E97" s="364"/>
      <c r="F97" s="364"/>
      <c r="G97" s="549"/>
      <c r="H97" s="367">
        <f t="shared" si="22"/>
        <v>-1</v>
      </c>
      <c r="I97" s="367">
        <f>J97-H97</f>
        <v>1</v>
      </c>
      <c r="J97" s="367">
        <f>IFERROR(ROUND((F93-$E$3+1)/30,0),)</f>
        <v>0</v>
      </c>
    </row>
    <row r="98" spans="1:10">
      <c r="A98" s="812">
        <v>20</v>
      </c>
      <c r="B98" s="813"/>
      <c r="C98" s="367" t="str">
        <f>IFERROR(IF(ISTEXT(B98),"Analýza a dizajn",""),)</f>
        <v/>
      </c>
      <c r="D98" s="367" t="str">
        <f>IFERROR(VLOOKUP(B98,MODULY_CBA!$B$3:$I$23,6,0),"")</f>
        <v/>
      </c>
      <c r="E98" s="368" t="str">
        <f>IFERROR(VLOOKUP(D98,INKREMENTY!$A$2:$F$21,2,0),"")</f>
        <v/>
      </c>
      <c r="F98" s="368" t="str">
        <f>IFERROR(VLOOKUP(D98,INKREMENTY!$A$2:$F$21,4,0),"")</f>
        <v/>
      </c>
      <c r="G98" s="367">
        <f>IFERROR(ROUND(((E98-$E$3)+1)/30,0)+1,)</f>
        <v>0</v>
      </c>
      <c r="H98" s="367">
        <f t="shared" si="22"/>
        <v>-1</v>
      </c>
      <c r="I98" s="549"/>
      <c r="J98" s="367">
        <f t="shared" ref="J98:J101" si="24">H98+I98</f>
        <v>-1</v>
      </c>
    </row>
    <row r="99" spans="1:10">
      <c r="A99" s="812"/>
      <c r="B99" s="813"/>
      <c r="C99" s="367" t="str">
        <f>IFERROR(IF(ISTEXT(B98),"Nákupo HW a krabicový SW",""),)</f>
        <v/>
      </c>
      <c r="D99" s="364"/>
      <c r="E99" s="364"/>
      <c r="F99" s="364"/>
      <c r="G99" s="549"/>
      <c r="H99" s="367">
        <f t="shared" si="22"/>
        <v>-1</v>
      </c>
      <c r="I99" s="549"/>
      <c r="J99" s="367">
        <f t="shared" si="24"/>
        <v>-1</v>
      </c>
    </row>
    <row r="100" spans="1:10">
      <c r="A100" s="812"/>
      <c r="B100" s="813"/>
      <c r="C100" s="367" t="str">
        <f>IFERROR(IF(ISTEXT(B98),"Implementácia",""),)</f>
        <v/>
      </c>
      <c r="D100" s="364"/>
      <c r="E100" s="364"/>
      <c r="F100" s="364"/>
      <c r="G100" s="549"/>
      <c r="H100" s="367">
        <f t="shared" si="22"/>
        <v>-1</v>
      </c>
      <c r="I100" s="549"/>
      <c r="J100" s="367">
        <f t="shared" si="24"/>
        <v>-1</v>
      </c>
    </row>
    <row r="101" spans="1:10">
      <c r="A101" s="812"/>
      <c r="B101" s="813"/>
      <c r="C101" s="367" t="str">
        <f>IFERROR(IF(ISTEXT(B98),"Testovanie",""),)</f>
        <v/>
      </c>
      <c r="D101" s="364"/>
      <c r="E101" s="364"/>
      <c r="F101" s="364"/>
      <c r="G101" s="549"/>
      <c r="H101" s="367">
        <f t="shared" si="22"/>
        <v>-1</v>
      </c>
      <c r="I101" s="549"/>
      <c r="J101" s="367">
        <f t="shared" si="24"/>
        <v>-1</v>
      </c>
    </row>
    <row r="102" spans="1:10">
      <c r="A102" s="812"/>
      <c r="B102" s="813"/>
      <c r="C102" s="367" t="str">
        <f>IFERROR(IF(ISTEXT(B98),"Nasadenie",""),)</f>
        <v/>
      </c>
      <c r="D102" s="364"/>
      <c r="E102" s="364"/>
      <c r="F102" s="364"/>
      <c r="G102" s="549"/>
      <c r="H102" s="367">
        <f t="shared" si="22"/>
        <v>-1</v>
      </c>
      <c r="I102" s="367">
        <f>J102-H102</f>
        <v>1</v>
      </c>
      <c r="J102" s="367">
        <f>IFERROR(ROUND((F98-$E$3+1)/30,0),)</f>
        <v>0</v>
      </c>
    </row>
    <row r="103" spans="1:10">
      <c r="A103" s="812">
        <v>21</v>
      </c>
      <c r="B103" s="813"/>
      <c r="C103" s="367" t="str">
        <f>IFERROR(IF(ISTEXT(B103),"Analýza a dizajn",""),)</f>
        <v/>
      </c>
      <c r="D103" s="367" t="str">
        <f>IFERROR(VLOOKUP(B103,MODULY_CBA!$B$3:$I$23,6,0),"")</f>
        <v/>
      </c>
      <c r="E103" s="368" t="str">
        <f>IFERROR(VLOOKUP(D103,INKREMENTY!$A$2:$F$21,2,0),"")</f>
        <v/>
      </c>
      <c r="F103" s="368" t="str">
        <f>IFERROR(VLOOKUP(D103,INKREMENTY!$A$2:$F$21,4,0),"")</f>
        <v/>
      </c>
      <c r="G103" s="367">
        <f>IFERROR(ROUND(((E103-$E$3)+1)/30,0)+1,)</f>
        <v>0</v>
      </c>
      <c r="H103" s="367">
        <f t="shared" si="22"/>
        <v>-1</v>
      </c>
      <c r="I103" s="549"/>
      <c r="J103" s="367">
        <f t="shared" ref="J103:J106" si="25">H103+I103</f>
        <v>-1</v>
      </c>
    </row>
    <row r="104" spans="1:10">
      <c r="A104" s="812"/>
      <c r="B104" s="813"/>
      <c r="C104" s="367" t="str">
        <f>IFERROR(IF(ISTEXT(B103),"Nákupo HW a krabicový SW",""),)</f>
        <v/>
      </c>
      <c r="D104" s="364"/>
      <c r="E104" s="364"/>
      <c r="F104" s="364"/>
      <c r="G104" s="549"/>
      <c r="H104" s="367">
        <f t="shared" si="22"/>
        <v>-1</v>
      </c>
      <c r="I104" s="549"/>
      <c r="J104" s="367">
        <f t="shared" si="25"/>
        <v>-1</v>
      </c>
    </row>
    <row r="105" spans="1:10">
      <c r="A105" s="812"/>
      <c r="B105" s="813"/>
      <c r="C105" s="367" t="str">
        <f>IFERROR(IF(ISTEXT(B103),"Implementácia",""),)</f>
        <v/>
      </c>
      <c r="D105" s="364"/>
      <c r="E105" s="364"/>
      <c r="F105" s="364"/>
      <c r="G105" s="549"/>
      <c r="H105" s="367">
        <f t="shared" si="22"/>
        <v>-1</v>
      </c>
      <c r="I105" s="549"/>
      <c r="J105" s="367">
        <f t="shared" si="25"/>
        <v>-1</v>
      </c>
    </row>
    <row r="106" spans="1:10">
      <c r="A106" s="812"/>
      <c r="B106" s="813"/>
      <c r="C106" s="367" t="str">
        <f>IFERROR(IF(ISTEXT(B103),"Testovanie",""),)</f>
        <v/>
      </c>
      <c r="D106" s="364"/>
      <c r="E106" s="364"/>
      <c r="F106" s="364"/>
      <c r="G106" s="549"/>
      <c r="H106" s="367">
        <f t="shared" si="22"/>
        <v>-1</v>
      </c>
      <c r="I106" s="549"/>
      <c r="J106" s="367">
        <f t="shared" si="25"/>
        <v>-1</v>
      </c>
    </row>
    <row r="107" spans="1:10">
      <c r="A107" s="812"/>
      <c r="B107" s="813"/>
      <c r="C107" s="367" t="str">
        <f>IFERROR(IF(ISTEXT(B103),"Nasadenie",""),)</f>
        <v/>
      </c>
      <c r="D107" s="364"/>
      <c r="E107" s="364"/>
      <c r="F107" s="364"/>
      <c r="G107" s="549"/>
      <c r="H107" s="367">
        <f t="shared" si="22"/>
        <v>-1</v>
      </c>
      <c r="I107" s="367">
        <f>J107-H107</f>
        <v>1</v>
      </c>
      <c r="J107" s="367">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pageSetup orientation="portrait"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9">
    <tabColor theme="0" tint="-0.34998626667073579"/>
    <outlinePr summaryBelow="0" summaryRight="0"/>
  </sheetPr>
  <dimension ref="A1:M44"/>
  <sheetViews>
    <sheetView view="pageBreakPreview" topLeftCell="B1" zoomScale="176" zoomScaleNormal="85" zoomScaleSheetLayoutView="100" workbookViewId="0">
      <selection activeCell="D26" sqref="D26"/>
    </sheetView>
  </sheetViews>
  <sheetFormatPr defaultColWidth="8.85546875" defaultRowHeight="15" outlineLevelCol="1"/>
  <cols>
    <col min="2" max="2" width="54.140625" customWidth="1"/>
    <col min="3" max="3" width="18.85546875" customWidth="1"/>
    <col min="4" max="13" width="16" customWidth="1" outlineLevel="1"/>
  </cols>
  <sheetData>
    <row r="1" spans="1:13" ht="21">
      <c r="A1" s="93" t="s">
        <v>1475</v>
      </c>
      <c r="B1" s="94"/>
      <c r="E1" s="83"/>
      <c r="F1" s="83"/>
      <c r="G1" s="83"/>
      <c r="H1" s="83"/>
      <c r="I1" s="83"/>
      <c r="J1" s="83"/>
      <c r="K1" s="83"/>
      <c r="L1" s="83"/>
      <c r="M1" s="80"/>
    </row>
    <row r="2" spans="1:13" ht="15.75">
      <c r="A2" s="95"/>
      <c r="B2" s="81"/>
      <c r="D2" s="81"/>
      <c r="E2" s="81"/>
      <c r="F2" s="81"/>
      <c r="G2" s="81"/>
      <c r="H2" s="81"/>
      <c r="I2" s="81"/>
      <c r="J2" s="81"/>
      <c r="K2" s="81"/>
      <c r="L2" s="81"/>
      <c r="M2" s="76"/>
    </row>
    <row r="3" spans="1:13" ht="15.75">
      <c r="A3" s="158" t="s">
        <v>1476</v>
      </c>
      <c r="B3" s="81"/>
      <c r="D3" s="76"/>
      <c r="E3" s="76"/>
      <c r="F3" s="76"/>
      <c r="G3" s="76"/>
      <c r="H3" s="76"/>
      <c r="I3" s="76"/>
      <c r="J3" s="76"/>
      <c r="K3" s="76"/>
      <c r="L3" s="76"/>
      <c r="M3" s="76"/>
    </row>
    <row r="4" spans="1:13">
      <c r="D4" s="77"/>
      <c r="E4" s="77"/>
      <c r="F4" s="77"/>
      <c r="G4" s="77"/>
      <c r="H4" s="77"/>
      <c r="I4" s="77"/>
      <c r="J4" s="77"/>
      <c r="K4" s="77"/>
      <c r="L4" s="77"/>
      <c r="M4" s="77"/>
    </row>
    <row r="5" spans="1:13" ht="15.75" thickBot="1">
      <c r="B5" s="77"/>
      <c r="C5" s="665"/>
      <c r="D5" s="815" t="s">
        <v>192</v>
      </c>
      <c r="E5" s="815"/>
      <c r="F5" s="815"/>
      <c r="G5" s="815"/>
      <c r="H5" s="815"/>
      <c r="I5" s="815"/>
      <c r="J5" s="815"/>
      <c r="K5" s="815"/>
      <c r="L5" s="815"/>
      <c r="M5" s="815"/>
    </row>
    <row r="6" spans="1:13">
      <c r="A6" s="128"/>
      <c r="B6" s="153" t="s">
        <v>162</v>
      </c>
      <c r="C6" s="87" t="s">
        <v>97</v>
      </c>
      <c r="D6" s="99" t="s">
        <v>164</v>
      </c>
      <c r="E6" s="100" t="s">
        <v>165</v>
      </c>
      <c r="F6" s="100" t="s">
        <v>166</v>
      </c>
      <c r="G6" s="100" t="s">
        <v>167</v>
      </c>
      <c r="H6" s="100" t="s">
        <v>168</v>
      </c>
      <c r="I6" s="100" t="s">
        <v>169</v>
      </c>
      <c r="J6" s="100" t="s">
        <v>170</v>
      </c>
      <c r="K6" s="100" t="s">
        <v>171</v>
      </c>
      <c r="L6" s="100" t="s">
        <v>172</v>
      </c>
      <c r="M6" s="101" t="s">
        <v>173</v>
      </c>
    </row>
    <row r="7" spans="1:13">
      <c r="A7" s="156"/>
      <c r="B7" s="154" t="s">
        <v>1477</v>
      </c>
      <c r="C7" s="88">
        <f t="shared" ref="C7:C14" si="0">SUM(D7:M7)</f>
        <v>0</v>
      </c>
      <c r="D7" s="102">
        <f>'TCO TO BE- SW'!$E6+'TCO TO BE- SW'!$E26+'TCO TO BE- SW'!$E16</f>
        <v>0</v>
      </c>
      <c r="E7" s="85">
        <f>'TCO TO BE- SW'!$E7+'TCO TO BE- SW'!$E27+'TCO TO BE- SW'!$E17</f>
        <v>0</v>
      </c>
      <c r="F7" s="85">
        <f>'TCO TO BE- SW'!$E8+'TCO TO BE- SW'!$E28+'TCO TO BE- SW'!$E18</f>
        <v>0</v>
      </c>
      <c r="G7" s="85">
        <f>'TCO TO BE- SW'!$E9+'TCO TO BE- SW'!$E29+'TCO TO BE- SW'!$E19</f>
        <v>0</v>
      </c>
      <c r="H7" s="85">
        <f>'TCO TO BE- SW'!$E10+'TCO TO BE- SW'!$E30+'TCO TO BE- SW'!$E20</f>
        <v>0</v>
      </c>
      <c r="I7" s="85">
        <f>'TCO TO BE- SW'!$E11+'TCO TO BE- SW'!$E31+'TCO TO BE- SW'!$E21</f>
        <v>0</v>
      </c>
      <c r="J7" s="85">
        <f>'TCO TO BE- SW'!$E12+'TCO TO BE- SW'!$E32+'TCO TO BE- SW'!$E22</f>
        <v>0</v>
      </c>
      <c r="K7" s="85">
        <f>'TCO TO BE- SW'!$E13+'TCO TO BE- SW'!$E33+'TCO TO BE- SW'!$E23</f>
        <v>0</v>
      </c>
      <c r="L7" s="85">
        <f>'TCO TO BE- SW'!$E14+'TCO TO BE- SW'!$E34+'TCO TO BE- SW'!$E24</f>
        <v>0</v>
      </c>
      <c r="M7" s="103">
        <f>'TCO TO BE- SW'!$E15+'TCO TO BE- SW'!$E35+'TCO TO BE- SW'!$E25</f>
        <v>0</v>
      </c>
    </row>
    <row r="8" spans="1:13">
      <c r="A8" s="156"/>
      <c r="B8" s="154" t="s">
        <v>1478</v>
      </c>
      <c r="C8" s="88">
        <f t="shared" si="0"/>
        <v>0</v>
      </c>
      <c r="D8" s="102">
        <f>'TCO TO BE- SW'!$E79+'TCO TO BE- SW'!$E89</f>
        <v>0</v>
      </c>
      <c r="E8" s="85">
        <f>'TCO TO BE- SW'!$E80+'TCO TO BE- SW'!$E90</f>
        <v>0</v>
      </c>
      <c r="F8" s="85">
        <f>'TCO TO BE- SW'!$E81+'TCO TO BE- SW'!$E91</f>
        <v>0</v>
      </c>
      <c r="G8" s="85">
        <f>'TCO TO BE- SW'!$E82+'TCO TO BE- SW'!$E92</f>
        <v>0</v>
      </c>
      <c r="H8" s="85">
        <f>'TCO TO BE- SW'!$E83+'TCO TO BE- SW'!$E93</f>
        <v>0</v>
      </c>
      <c r="I8" s="85">
        <f>'TCO TO BE- SW'!$E84+'TCO TO BE- SW'!$E94</f>
        <v>0</v>
      </c>
      <c r="J8" s="85">
        <f>'TCO TO BE- SW'!$E85+'TCO TO BE- SW'!$E95</f>
        <v>0</v>
      </c>
      <c r="K8" s="85">
        <f>'TCO TO BE- SW'!$E86+'TCO TO BE- SW'!$E96</f>
        <v>0</v>
      </c>
      <c r="L8" s="85">
        <f>'TCO TO BE- SW'!$E87+'TCO TO BE- SW'!$E97</f>
        <v>0</v>
      </c>
      <c r="M8" s="103">
        <f>'TCO TO BE- SW'!$E88+'TCO TO BE- SW'!$E98</f>
        <v>0</v>
      </c>
    </row>
    <row r="9" spans="1:13">
      <c r="A9" s="156"/>
      <c r="B9" s="154" t="s">
        <v>1479</v>
      </c>
      <c r="C9" s="88">
        <f t="shared" si="0"/>
        <v>22058714.549999997</v>
      </c>
      <c r="D9" s="102">
        <f>'TCO TO BE- SW'!$E37+'TCO TO BE- SW'!$E47+'TCO TO BE- SW'!$E67+'TCO TO BE- SW'!E57</f>
        <v>0</v>
      </c>
      <c r="E9" s="85">
        <f>'TCO TO BE- SW'!$E38+'TCO TO BE- SW'!$E48+'TCO TO BE- SW'!$E68+'TCO TO BE- SW'!E58</f>
        <v>9140375.9718360081</v>
      </c>
      <c r="F9" s="85">
        <f>'TCO TO BE- SW'!$E39+'TCO TO BE- SW'!$E49+'TCO TO BE- SW'!$E69+'TCO TO BE- SW'!E59</f>
        <v>12918338.578163989</v>
      </c>
      <c r="G9" s="85">
        <f>'TCO TO BE- SW'!$E40+'TCO TO BE- SW'!$E50+'TCO TO BE- SW'!$E70+'TCO TO BE- SW'!E60</f>
        <v>0</v>
      </c>
      <c r="H9" s="85">
        <f>'TCO TO BE- SW'!$E41+'TCO TO BE- SW'!$E51+'TCO TO BE- SW'!$E71+'TCO TO BE- SW'!E61</f>
        <v>0</v>
      </c>
      <c r="I9" s="85">
        <f>'TCO TO BE- SW'!$E42+'TCO TO BE- SW'!$E52+'TCO TO BE- SW'!$E72+'TCO TO BE- SW'!E62</f>
        <v>0</v>
      </c>
      <c r="J9" s="85">
        <f>'TCO TO BE- SW'!$E43+'TCO TO BE- SW'!$E53+'TCO TO BE- SW'!$E73+'TCO TO BE- SW'!E63</f>
        <v>0</v>
      </c>
      <c r="K9" s="85">
        <f>'TCO TO BE- SW'!$E44+'TCO TO BE- SW'!$E54+'TCO TO BE- SW'!$E74+'TCO TO BE- SW'!E64</f>
        <v>0</v>
      </c>
      <c r="L9" s="85">
        <f>'TCO TO BE- SW'!$E45+'TCO TO BE- SW'!$E55+'TCO TO BE- SW'!$E75+'TCO TO BE- SW'!E65</f>
        <v>0</v>
      </c>
      <c r="M9" s="103">
        <f>'TCO TO BE- SW'!$E46+'TCO TO BE- SW'!$E56+'TCO TO BE- SW'!$E76+'TCO TO BE- SW'!E66</f>
        <v>0</v>
      </c>
    </row>
    <row r="10" spans="1:13">
      <c r="A10" s="156"/>
      <c r="B10" s="154" t="s">
        <v>1480</v>
      </c>
      <c r="C10" s="88">
        <f t="shared" si="0"/>
        <v>45731743.805664599</v>
      </c>
      <c r="D10" s="102">
        <f>'TCO TO BE- SW'!$E100+'TCO TO BE- SW'!$E110+'TCO TO BE- SW'!$E120+'TCO TO BE- SW'!$E130+'TCO TO BE- SW'!$E140</f>
        <v>0</v>
      </c>
      <c r="E10" s="85">
        <f>'TCO TO BE- SW'!$E101+'TCO TO BE- SW'!$E111+'TCO TO BE- SW'!$E121+'TCO TO BE- SW'!$E131+'TCO TO BE- SW'!$E141</f>
        <v>1504586.9524267269</v>
      </c>
      <c r="F10" s="85">
        <f>'TCO TO BE- SW'!$E102+'TCO TO BE- SW'!$E112+'TCO TO BE- SW'!$E122+'TCO TO BE- SW'!$E132+'TCO TO BE- SW'!$E142</f>
        <v>5528394.6066547334</v>
      </c>
      <c r="G10" s="85">
        <f>'TCO TO BE- SW'!$E103+'TCO TO BE- SW'!$E113+'TCO TO BE- SW'!$E123+'TCO TO BE- SW'!$E133+'TCO TO BE- SW'!$E143</f>
        <v>5528394.6066547334</v>
      </c>
      <c r="H10" s="85">
        <f>'TCO TO BE- SW'!$E104+'TCO TO BE- SW'!$E114+'TCO TO BE- SW'!$E124+'TCO TO BE- SW'!$E134+'TCO TO BE- SW'!$E144</f>
        <v>5528394.6066547334</v>
      </c>
      <c r="I10" s="85">
        <f>'TCO TO BE- SW'!$E105+'TCO TO BE- SW'!$E115+'TCO TO BE- SW'!$E125+'TCO TO BE- SW'!$E135+'TCO TO BE- SW'!$E145</f>
        <v>5528394.6066547334</v>
      </c>
      <c r="J10" s="85">
        <f>'TCO TO BE- SW'!$E106+'TCO TO BE- SW'!$E116+'TCO TO BE- SW'!$E126+'TCO TO BE- SW'!$E136+'TCO TO BE- SW'!$E146</f>
        <v>5528394.6066547334</v>
      </c>
      <c r="K10" s="85">
        <f>'TCO TO BE- SW'!$E107+'TCO TO BE- SW'!$E117+'TCO TO BE- SW'!$E127+'TCO TO BE- SW'!$E137+'TCO TO BE- SW'!$E147</f>
        <v>5528394.6066547334</v>
      </c>
      <c r="L10" s="85">
        <f>'TCO TO BE- SW'!$E108+'TCO TO BE- SW'!$E118+'TCO TO BE- SW'!$E128+'TCO TO BE- SW'!$E138+'TCO TO BE- SW'!$E148</f>
        <v>5528394.6066547334</v>
      </c>
      <c r="M10" s="103">
        <f>'TCO TO BE- SW'!$E109+'TCO TO BE- SW'!$E119+'TCO TO BE- SW'!$E129+'TCO TO BE- SW'!$E139+'TCO TO BE- SW'!$E149</f>
        <v>5528394.6066547334</v>
      </c>
    </row>
    <row r="11" spans="1:13">
      <c r="A11" s="156"/>
      <c r="B11" s="154" t="s">
        <v>1481</v>
      </c>
      <c r="C11" s="88">
        <f t="shared" si="0"/>
        <v>0</v>
      </c>
      <c r="D11" s="102">
        <f>'TCO TO BE- SW'!E172+'TCO TO BE- SW'!E182</f>
        <v>0</v>
      </c>
      <c r="E11" s="85">
        <f>'TCO TO BE- SW'!E173+'TCO TO BE- SW'!E183</f>
        <v>0</v>
      </c>
      <c r="F11" s="85">
        <f>'TCO TO BE- SW'!E174+'TCO TO BE- SW'!E184</f>
        <v>0</v>
      </c>
      <c r="G11" s="85">
        <f>'TCO TO BE- SW'!E175+'TCO TO BE- SW'!E185</f>
        <v>0</v>
      </c>
      <c r="H11" s="85">
        <f>'TCO TO BE- SW'!E176+'TCO TO BE- SW'!E186</f>
        <v>0</v>
      </c>
      <c r="I11" s="85">
        <f>'TCO TO BE- SW'!E177+'TCO TO BE- SW'!E187</f>
        <v>0</v>
      </c>
      <c r="J11" s="85">
        <f>'TCO TO BE- SW'!E178+'TCO TO BE- SW'!E188</f>
        <v>0</v>
      </c>
      <c r="K11" s="85">
        <f>'TCO TO BE- SW'!E179+'TCO TO BE- SW'!E189</f>
        <v>0</v>
      </c>
      <c r="L11" s="85">
        <f>'TCO TO BE- SW'!E180+'TCO TO BE- SW'!E190</f>
        <v>0</v>
      </c>
      <c r="M11" s="103">
        <f>'TCO TO BE- SW'!E181+'TCO TO BE- SW'!E191</f>
        <v>0</v>
      </c>
    </row>
    <row r="12" spans="1:13">
      <c r="A12" s="156"/>
      <c r="B12" s="154" t="s">
        <v>1482</v>
      </c>
      <c r="C12" s="88">
        <f t="shared" si="0"/>
        <v>0</v>
      </c>
      <c r="D12" s="102">
        <f>'TCO TO BE - HW'!$E5+'TCO TO BE - HW'!$E15+'TCO TO BE - HW'!$E45+'TCO TO BE - HW'!$E25+'TCO TO BE - HW'!$E35</f>
        <v>0</v>
      </c>
      <c r="E12" s="85">
        <f>'TCO TO BE - HW'!$E6+'TCO TO BE - HW'!$E16+'TCO TO BE - HW'!$E46+'TCO TO BE - HW'!$E26+'TCO TO BE - HW'!$E36</f>
        <v>0</v>
      </c>
      <c r="F12" s="85">
        <f>'TCO TO BE - HW'!$E7+'TCO TO BE - HW'!$E17+'TCO TO BE - HW'!$E47+'TCO TO BE - HW'!$E27+'TCO TO BE - HW'!$E37</f>
        <v>0</v>
      </c>
      <c r="G12" s="85">
        <f>'TCO TO BE - HW'!$E8+'TCO TO BE - HW'!$E18+'TCO TO BE - HW'!$E48+'TCO TO BE - HW'!$E28+'TCO TO BE - HW'!$E38</f>
        <v>0</v>
      </c>
      <c r="H12" s="85">
        <f>'TCO TO BE - HW'!$E9+'TCO TO BE - HW'!$E19+'TCO TO BE - HW'!$E49+'TCO TO BE - HW'!$E29+'TCO TO BE - HW'!$E39</f>
        <v>0</v>
      </c>
      <c r="I12" s="85">
        <f>'TCO TO BE - HW'!$E10+'TCO TO BE - HW'!$E20+'TCO TO BE - HW'!$E50+'TCO TO BE - HW'!$E30+'TCO TO BE - HW'!$E40</f>
        <v>0</v>
      </c>
      <c r="J12" s="85">
        <f>'TCO TO BE - HW'!$E11+'TCO TO BE - HW'!$E21+'TCO TO BE - HW'!$E51+'TCO TO BE - HW'!$E31+'TCO TO BE - HW'!$E41</f>
        <v>0</v>
      </c>
      <c r="K12" s="85">
        <f>'TCO TO BE - HW'!$E12+'TCO TO BE - HW'!$E22+'TCO TO BE - HW'!$E52+'TCO TO BE - HW'!$E32+'TCO TO BE - HW'!$E42</f>
        <v>0</v>
      </c>
      <c r="L12" s="85">
        <f>'TCO TO BE - HW'!$E13+'TCO TO BE - HW'!$E23+'TCO TO BE - HW'!$E53+'TCO TO BE - HW'!$E33+'TCO TO BE - HW'!$E43</f>
        <v>0</v>
      </c>
      <c r="M12" s="103">
        <f>'TCO TO BE - HW'!$E14+'TCO TO BE - HW'!$E24+'TCO TO BE - HW'!$E54+'TCO TO BE - HW'!$E34+'TCO TO BE - HW'!$E44</f>
        <v>0</v>
      </c>
    </row>
    <row r="13" spans="1:13">
      <c r="A13" s="156"/>
      <c r="B13" s="154" t="s">
        <v>1483</v>
      </c>
      <c r="C13" s="88">
        <f t="shared" si="0"/>
        <v>0</v>
      </c>
      <c r="D13" s="102">
        <f>'TCO TO BE - HW'!$E56+'TCO TO BE - HW'!$E66+'TCO TO BE - HW'!$E76+'TCO TO BE - HW'!$E86+'TCO TO BE - HW'!$E96</f>
        <v>0</v>
      </c>
      <c r="E13" s="85">
        <f>'TCO TO BE - HW'!$E57+'TCO TO BE - HW'!$E67+'TCO TO BE - HW'!$E77+'TCO TO BE - HW'!$E87+'TCO TO BE - HW'!$E97</f>
        <v>0</v>
      </c>
      <c r="F13" s="85">
        <f>'TCO TO BE - HW'!$E58+'TCO TO BE - HW'!$E68+'TCO TO BE - HW'!$E78+'TCO TO BE - HW'!$E88+'TCO TO BE - HW'!$E98</f>
        <v>0</v>
      </c>
      <c r="G13" s="85">
        <f>'TCO TO BE - HW'!$E59+'TCO TO BE - HW'!$E69+'TCO TO BE - HW'!$E79+'TCO TO BE - HW'!$E89+'TCO TO BE - HW'!$E99</f>
        <v>0</v>
      </c>
      <c r="H13" s="85">
        <f>'TCO TO BE - HW'!$E60+'TCO TO BE - HW'!$E70+'TCO TO BE - HW'!$E80+'TCO TO BE - HW'!$E90+'TCO TO BE - HW'!$E100</f>
        <v>0</v>
      </c>
      <c r="I13" s="85">
        <f>'TCO TO BE - HW'!$E61+'TCO TO BE - HW'!$E71+'TCO TO BE - HW'!$E81+'TCO TO BE - HW'!$E91+'TCO TO BE - HW'!$E101</f>
        <v>0</v>
      </c>
      <c r="J13" s="85">
        <f>'TCO TO BE - HW'!$E62+'TCO TO BE - HW'!$E72+'TCO TO BE - HW'!$E82+'TCO TO BE - HW'!$E92+'TCO TO BE - HW'!$E102</f>
        <v>0</v>
      </c>
      <c r="K13" s="85">
        <f>'TCO TO BE - HW'!$E63+'TCO TO BE - HW'!$E73+'TCO TO BE - HW'!$E83+'TCO TO BE - HW'!$E93+'TCO TO BE - HW'!$E103</f>
        <v>0</v>
      </c>
      <c r="L13" s="85">
        <f>'TCO TO BE - HW'!$E64+'TCO TO BE - HW'!$E74+'TCO TO BE - HW'!$E84+'TCO TO BE - HW'!$E94+'TCO TO BE - HW'!$E104</f>
        <v>0</v>
      </c>
      <c r="M13" s="103">
        <f>'TCO TO BE - HW'!$E65+'TCO TO BE - HW'!$E75+'TCO TO BE - HW'!$E85+'TCO TO BE - HW'!$E95+'TCO TO BE - HW'!$E105</f>
        <v>0</v>
      </c>
    </row>
    <row r="14" spans="1:13" ht="15.75" thickBot="1">
      <c r="A14" s="156"/>
      <c r="B14" s="317" t="s">
        <v>1484</v>
      </c>
      <c r="C14" s="318">
        <f t="shared" si="0"/>
        <v>326304</v>
      </c>
      <c r="D14" s="319">
        <f>'TCO TO BE- SW'!E151+'TCO TO BE- SW'!E161</f>
        <v>130521.60000000001</v>
      </c>
      <c r="E14" s="320">
        <f>'TCO TO BE- SW'!E152+'TCO TO BE- SW'!E162</f>
        <v>130521.60000000001</v>
      </c>
      <c r="F14" s="320">
        <f>'TCO TO BE- SW'!E153+'TCO TO BE- SW'!E163</f>
        <v>65260.800000000003</v>
      </c>
      <c r="G14" s="320">
        <f>'TCO TO BE- SW'!E154+'TCO TO BE- SW'!E164</f>
        <v>0</v>
      </c>
      <c r="H14" s="320">
        <f>'TCO TO BE- SW'!E155+'TCO TO BE- SW'!E165</f>
        <v>0</v>
      </c>
      <c r="I14" s="320">
        <f>'TCO TO BE- SW'!E156+'TCO TO BE- SW'!E166</f>
        <v>0</v>
      </c>
      <c r="J14" s="320">
        <f>'TCO TO BE- SW'!E157+'TCO TO BE- SW'!E167</f>
        <v>0</v>
      </c>
      <c r="K14" s="320">
        <f>'TCO TO BE- SW'!E158+'TCO TO BE- SW'!E168</f>
        <v>0</v>
      </c>
      <c r="L14" s="320">
        <f>'TCO TO BE- SW'!E159+'TCO TO BE- SW'!E169</f>
        <v>0</v>
      </c>
      <c r="M14" s="321">
        <f>'TCO TO BE- SW'!E160+'TCO TO BE- SW'!E170</f>
        <v>0</v>
      </c>
    </row>
    <row r="15" spans="1:13" ht="15.75" thickBot="1">
      <c r="A15" s="157"/>
      <c r="B15" s="155" t="s">
        <v>1485</v>
      </c>
      <c r="C15" s="90">
        <f>SUM(C7:C14)</f>
        <v>68116762.355664596</v>
      </c>
      <c r="D15" s="86">
        <f>SUM(D7:D14)</f>
        <v>130521.60000000001</v>
      </c>
      <c r="E15" s="86">
        <f t="shared" ref="E15:M15" si="1">SUM(E7:E14)</f>
        <v>10775484.524262736</v>
      </c>
      <c r="F15" s="86">
        <f t="shared" si="1"/>
        <v>18511993.984818723</v>
      </c>
      <c r="G15" s="86">
        <f t="shared" si="1"/>
        <v>5528394.6066547334</v>
      </c>
      <c r="H15" s="86">
        <f t="shared" si="1"/>
        <v>5528394.6066547334</v>
      </c>
      <c r="I15" s="86">
        <f t="shared" si="1"/>
        <v>5528394.6066547334</v>
      </c>
      <c r="J15" s="86">
        <f t="shared" si="1"/>
        <v>5528394.6066547334</v>
      </c>
      <c r="K15" s="86">
        <f t="shared" si="1"/>
        <v>5528394.6066547334</v>
      </c>
      <c r="L15" s="86">
        <f t="shared" si="1"/>
        <v>5528394.6066547334</v>
      </c>
      <c r="M15" s="86">
        <f t="shared" si="1"/>
        <v>5528394.6066547334</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16" t="s">
        <v>1486</v>
      </c>
      <c r="B18" s="816"/>
      <c r="C18" s="816"/>
      <c r="D18" s="82"/>
      <c r="E18" s="81"/>
      <c r="F18" s="81"/>
      <c r="G18" s="81"/>
      <c r="H18" s="81"/>
      <c r="I18" s="81"/>
      <c r="J18" s="81"/>
      <c r="K18" s="81"/>
      <c r="L18" s="81"/>
      <c r="M18" s="76"/>
    </row>
    <row r="19" spans="1:13">
      <c r="A19" s="77"/>
      <c r="B19" s="77"/>
      <c r="C19" s="77"/>
      <c r="D19" s="77"/>
      <c r="E19" s="77"/>
      <c r="F19" s="77"/>
      <c r="G19" s="77"/>
      <c r="H19" s="77"/>
      <c r="I19" s="77"/>
      <c r="J19" s="77"/>
      <c r="K19" s="77"/>
      <c r="L19" s="77"/>
      <c r="M19" s="77"/>
    </row>
    <row r="20" spans="1:13" ht="15.75" thickBot="1">
      <c r="B20" s="77"/>
      <c r="C20" s="665"/>
      <c r="D20" s="815" t="s">
        <v>192</v>
      </c>
      <c r="E20" s="815"/>
      <c r="F20" s="815"/>
      <c r="G20" s="815"/>
      <c r="H20" s="815"/>
      <c r="I20" s="815"/>
      <c r="J20" s="815"/>
      <c r="K20" s="815"/>
      <c r="L20" s="815"/>
      <c r="M20" s="815"/>
    </row>
    <row r="21" spans="1:13" ht="17.100000000000001" customHeight="1">
      <c r="A21" s="128"/>
      <c r="B21" s="152" t="s">
        <v>161</v>
      </c>
      <c r="C21" s="87" t="s">
        <v>97</v>
      </c>
      <c r="D21" s="99" t="s">
        <v>164</v>
      </c>
      <c r="E21" s="100" t="s">
        <v>165</v>
      </c>
      <c r="F21" s="100" t="s">
        <v>166</v>
      </c>
      <c r="G21" s="100" t="s">
        <v>167</v>
      </c>
      <c r="H21" s="100" t="s">
        <v>168</v>
      </c>
      <c r="I21" s="100" t="s">
        <v>169</v>
      </c>
      <c r="J21" s="100" t="s">
        <v>170</v>
      </c>
      <c r="K21" s="100" t="s">
        <v>171</v>
      </c>
      <c r="L21" s="100" t="s">
        <v>172</v>
      </c>
      <c r="M21" s="101" t="s">
        <v>173</v>
      </c>
    </row>
    <row r="22" spans="1:13" ht="15" customHeight="1">
      <c r="A22" s="156"/>
      <c r="B22" s="97" t="s">
        <v>1477</v>
      </c>
      <c r="C22" s="88">
        <v>0</v>
      </c>
      <c r="D22" s="102">
        <v>0</v>
      </c>
      <c r="E22" s="85">
        <v>0</v>
      </c>
      <c r="F22" s="85">
        <v>0</v>
      </c>
      <c r="G22" s="85">
        <v>0</v>
      </c>
      <c r="H22" s="85">
        <v>0</v>
      </c>
      <c r="I22" s="85">
        <v>0</v>
      </c>
      <c r="J22" s="85">
        <v>0</v>
      </c>
      <c r="K22" s="85">
        <v>0</v>
      </c>
      <c r="L22" s="85">
        <v>0</v>
      </c>
      <c r="M22" s="103">
        <v>0</v>
      </c>
    </row>
    <row r="23" spans="1:13" ht="17.25" customHeight="1">
      <c r="A23" s="156"/>
      <c r="B23" s="97" t="s">
        <v>1478</v>
      </c>
      <c r="C23" s="88">
        <f>SUM(D23:M23)</f>
        <v>0</v>
      </c>
      <c r="D23" s="102">
        <f>'TCO AS IS - SW'!E5+'TCO AS IS - SW'!E15</f>
        <v>0</v>
      </c>
      <c r="E23" s="85">
        <f>'TCO AS IS - SW'!E6+'TCO AS IS - SW'!E16</f>
        <v>0</v>
      </c>
      <c r="F23" s="85">
        <f>'TCO AS IS - SW'!E7+'TCO AS IS - SW'!E17</f>
        <v>0</v>
      </c>
      <c r="G23" s="85">
        <f>'TCO AS IS - SW'!E8+'TCO AS IS - SW'!E18</f>
        <v>0</v>
      </c>
      <c r="H23" s="85">
        <f>'TCO AS IS - SW'!E9+'TCO AS IS - SW'!E19</f>
        <v>0</v>
      </c>
      <c r="I23" s="85">
        <f>'TCO AS IS - SW'!E10+'TCO AS IS - SW'!E20</f>
        <v>0</v>
      </c>
      <c r="J23" s="85">
        <f>'TCO AS IS - SW'!E11+'TCO AS IS - SW'!E21</f>
        <v>0</v>
      </c>
      <c r="K23" s="85">
        <f>'TCO AS IS - SW'!E12+'TCO AS IS - SW'!E22</f>
        <v>0</v>
      </c>
      <c r="L23" s="85">
        <f>'TCO AS IS - SW'!E13+'TCO AS IS - SW'!E23</f>
        <v>0</v>
      </c>
      <c r="M23" s="103">
        <f>'TCO AS IS - SW'!E14+'TCO AS IS - SW'!E24</f>
        <v>0</v>
      </c>
    </row>
    <row r="24" spans="1:13">
      <c r="A24" s="156"/>
      <c r="B24" s="97" t="s">
        <v>1479</v>
      </c>
      <c r="C24" s="88">
        <v>0</v>
      </c>
      <c r="D24" s="102">
        <v>0</v>
      </c>
      <c r="E24" s="85">
        <v>0</v>
      </c>
      <c r="F24" s="85">
        <v>0</v>
      </c>
      <c r="G24" s="85">
        <v>0</v>
      </c>
      <c r="H24" s="85">
        <v>0</v>
      </c>
      <c r="I24" s="85">
        <v>0</v>
      </c>
      <c r="J24" s="85">
        <v>0</v>
      </c>
      <c r="K24" s="85">
        <v>0</v>
      </c>
      <c r="L24" s="85">
        <v>0</v>
      </c>
      <c r="M24" s="103">
        <v>0</v>
      </c>
    </row>
    <row r="25" spans="1:13">
      <c r="A25" s="156"/>
      <c r="B25" s="97" t="s">
        <v>1480</v>
      </c>
      <c r="C25" s="88">
        <f>SUM(D25:M25)</f>
        <v>0</v>
      </c>
      <c r="D25" s="102">
        <f>'TCO AS IS - SW'!E26+'TCO AS IS - SW'!E36+'TCO AS IS - SW'!E46+'TCO AS IS - SW'!E56+'TCO AS IS - SW'!E66</f>
        <v>0</v>
      </c>
      <c r="E25" s="85">
        <f>'TCO AS IS - SW'!E27+'TCO AS IS - SW'!E37+'TCO AS IS - SW'!E47+'TCO AS IS - SW'!E57+'TCO AS IS - SW'!E67</f>
        <v>0</v>
      </c>
      <c r="F25" s="85">
        <f>'TCO AS IS - SW'!E28+'TCO AS IS - SW'!E38+'TCO AS IS - SW'!E48+'TCO AS IS - SW'!E58+'TCO AS IS - SW'!E68</f>
        <v>0</v>
      </c>
      <c r="G25" s="85">
        <f>'TCO AS IS - SW'!E29+'TCO AS IS - SW'!E39+'TCO AS IS - SW'!E49+'TCO AS IS - SW'!E59+'TCO AS IS - SW'!E69</f>
        <v>0</v>
      </c>
      <c r="H25" s="85">
        <f>'TCO AS IS - SW'!E30+'TCO AS IS - SW'!E40+'TCO AS IS - SW'!E50+'TCO AS IS - SW'!E60+'TCO AS IS - SW'!E70</f>
        <v>0</v>
      </c>
      <c r="I25" s="85">
        <f>'TCO AS IS - SW'!E31+'TCO AS IS - SW'!E41+'TCO AS IS - SW'!E51+'TCO AS IS - SW'!E61+'TCO AS IS - SW'!E71</f>
        <v>0</v>
      </c>
      <c r="J25" s="85">
        <f>'TCO AS IS - SW'!E32+'TCO AS IS - SW'!E42+'TCO AS IS - SW'!E52+'TCO AS IS - SW'!E62+'TCO AS IS - SW'!E72</f>
        <v>0</v>
      </c>
      <c r="K25" s="85">
        <f>'TCO AS IS - SW'!E33+'TCO AS IS - SW'!E43+'TCO AS IS - SW'!E53+'TCO AS IS - SW'!E63+'TCO AS IS - SW'!E73</f>
        <v>0</v>
      </c>
      <c r="L25" s="85">
        <f>'TCO AS IS - SW'!E34+'TCO AS IS - SW'!E44+'TCO AS IS - SW'!E54+'TCO AS IS - SW'!E64+'TCO AS IS - SW'!E74</f>
        <v>0</v>
      </c>
      <c r="M25" s="103">
        <f>'TCO AS IS - SW'!E35+'TCO AS IS - SW'!E45+'TCO AS IS - SW'!E55+'TCO AS IS - SW'!E65+'TCO AS IS - SW'!E75</f>
        <v>0</v>
      </c>
    </row>
    <row r="26" spans="1:13">
      <c r="A26" s="156"/>
      <c r="B26" s="97" t="s">
        <v>1482</v>
      </c>
      <c r="C26" s="88">
        <v>0</v>
      </c>
      <c r="D26" s="102">
        <v>0</v>
      </c>
      <c r="E26" s="85">
        <v>0</v>
      </c>
      <c r="F26" s="85">
        <v>0</v>
      </c>
      <c r="G26" s="85">
        <v>0</v>
      </c>
      <c r="H26" s="85">
        <v>0</v>
      </c>
      <c r="I26" s="85">
        <v>0</v>
      </c>
      <c r="J26" s="85">
        <v>0</v>
      </c>
      <c r="K26" s="85">
        <v>0</v>
      </c>
      <c r="L26" s="85">
        <v>0</v>
      </c>
      <c r="M26" s="103">
        <v>0</v>
      </c>
    </row>
    <row r="27" spans="1:13" ht="15.75" thickBot="1">
      <c r="A27" s="156"/>
      <c r="B27" s="98" t="s">
        <v>1483</v>
      </c>
      <c r="C27" s="89">
        <f>SUM(D27:M27)</f>
        <v>0</v>
      </c>
      <c r="D27" s="104">
        <f>'TCO AS IS - HW'!E4+'TCO AS IS - HW'!E14+'TCO AS IS - HW'!E24+'TCO AS IS - HW'!E34+'TCO AS IS - HW'!E44</f>
        <v>0</v>
      </c>
      <c r="E27" s="105">
        <f>'TCO AS IS - HW'!E5+'TCO AS IS - HW'!E15+'TCO AS IS - HW'!E25+'TCO AS IS - HW'!E35+'TCO AS IS - HW'!E45</f>
        <v>0</v>
      </c>
      <c r="F27" s="105">
        <f>'TCO AS IS - HW'!E6+'TCO AS IS - HW'!E16+'TCO AS IS - HW'!E26+'TCO AS IS - HW'!E36+'TCO AS IS - HW'!E46</f>
        <v>0</v>
      </c>
      <c r="G27" s="105">
        <f>'TCO AS IS - HW'!E7+'TCO AS IS - HW'!E17+'TCO AS IS - HW'!E27+'TCO AS IS - HW'!E37+'TCO AS IS - HW'!E47</f>
        <v>0</v>
      </c>
      <c r="H27" s="105">
        <f>'TCO AS IS - HW'!E8+'TCO AS IS - HW'!E18+'TCO AS IS - HW'!E28+'TCO AS IS - HW'!E38+'TCO AS IS - HW'!E48</f>
        <v>0</v>
      </c>
      <c r="I27" s="105">
        <f>'TCO AS IS - HW'!E9+'TCO AS IS - HW'!E19+'TCO AS IS - HW'!E29+'TCO AS IS - HW'!E39+'TCO AS IS - HW'!E49</f>
        <v>0</v>
      </c>
      <c r="J27" s="105">
        <f>'TCO AS IS - HW'!E10+'TCO AS IS - HW'!E20+'TCO AS IS - HW'!E30+'TCO AS IS - HW'!E40+'TCO AS IS - HW'!E50</f>
        <v>0</v>
      </c>
      <c r="K27" s="105">
        <f>'TCO AS IS - HW'!E11+'TCO AS IS - HW'!E21+'TCO AS IS - HW'!E31+'TCO AS IS - HW'!E41+'TCO AS IS - HW'!E51</f>
        <v>0</v>
      </c>
      <c r="L27" s="105">
        <f>'TCO AS IS - HW'!E12+'TCO AS IS - HW'!E22+'TCO AS IS - HW'!E32+'TCO AS IS - HW'!E42+'TCO AS IS - HW'!E52</f>
        <v>0</v>
      </c>
      <c r="M27" s="106">
        <f>'TCO AS IS - HW'!E13+'TCO AS IS - HW'!E23+'TCO AS IS - HW'!E33+'TCO AS IS - HW'!E43+'TCO AS IS - HW'!E53</f>
        <v>0</v>
      </c>
    </row>
    <row r="28" spans="1:13" ht="15.75" thickBot="1">
      <c r="A28" s="157"/>
      <c r="B28" s="84" t="s">
        <v>1485</v>
      </c>
      <c r="C28" s="90">
        <f t="shared" ref="C28:M28" si="2">SUM(C22:C27)</f>
        <v>0</v>
      </c>
      <c r="D28" s="86">
        <f t="shared" si="2"/>
        <v>0</v>
      </c>
      <c r="E28" s="79">
        <f t="shared" si="2"/>
        <v>0</v>
      </c>
      <c r="F28" s="79">
        <f t="shared" si="2"/>
        <v>0</v>
      </c>
      <c r="G28" s="79">
        <f t="shared" si="2"/>
        <v>0</v>
      </c>
      <c r="H28" s="79">
        <f t="shared" si="2"/>
        <v>0</v>
      </c>
      <c r="I28" s="79">
        <f t="shared" si="2"/>
        <v>0</v>
      </c>
      <c r="J28" s="79">
        <f t="shared" si="2"/>
        <v>0</v>
      </c>
      <c r="K28" s="79">
        <f t="shared" si="2"/>
        <v>0</v>
      </c>
      <c r="L28" s="92">
        <f t="shared" si="2"/>
        <v>0</v>
      </c>
      <c r="M28" s="91">
        <f t="shared" si="2"/>
        <v>0</v>
      </c>
    </row>
    <row r="29" spans="1:13">
      <c r="A29" s="149"/>
      <c r="B29" s="150"/>
      <c r="C29" s="151"/>
      <c r="D29" s="151"/>
      <c r="E29" s="151"/>
      <c r="F29" s="151"/>
      <c r="G29" s="151"/>
      <c r="H29" s="151"/>
      <c r="I29" s="151"/>
      <c r="J29" s="151"/>
      <c r="K29" s="151"/>
      <c r="L29" s="151"/>
      <c r="M29" s="151"/>
    </row>
    <row r="32" spans="1:13" ht="15.75" customHeight="1">
      <c r="A32" s="816" t="s">
        <v>1487</v>
      </c>
      <c r="B32" s="816"/>
      <c r="C32" s="816"/>
    </row>
    <row r="34" spans="1:13" ht="15.75" thickBot="1"/>
    <row r="35" spans="1:13">
      <c r="A35" s="128"/>
      <c r="B35" s="152" t="s">
        <v>209</v>
      </c>
      <c r="C35" s="116" t="s">
        <v>97</v>
      </c>
      <c r="D35" s="117" t="s">
        <v>164</v>
      </c>
      <c r="E35" s="118" t="s">
        <v>165</v>
      </c>
      <c r="F35" s="118" t="s">
        <v>166</v>
      </c>
      <c r="G35" s="118" t="s">
        <v>167</v>
      </c>
      <c r="H35" s="118" t="s">
        <v>168</v>
      </c>
      <c r="I35" s="118" t="s">
        <v>169</v>
      </c>
      <c r="J35" s="118" t="s">
        <v>170</v>
      </c>
      <c r="K35" s="118" t="s">
        <v>171</v>
      </c>
      <c r="L35" s="118" t="s">
        <v>172</v>
      </c>
      <c r="M35" s="119" t="s">
        <v>173</v>
      </c>
    </row>
    <row r="36" spans="1:13">
      <c r="A36" s="156"/>
      <c r="B36" s="120" t="s">
        <v>1477</v>
      </c>
      <c r="C36" s="88">
        <f>SUM(D36:M36)</f>
        <v>0</v>
      </c>
      <c r="D36" s="102">
        <f t="shared" ref="D36:M36" si="3">D7-D22</f>
        <v>0</v>
      </c>
      <c r="E36" s="85">
        <f t="shared" si="3"/>
        <v>0</v>
      </c>
      <c r="F36" s="85">
        <f t="shared" si="3"/>
        <v>0</v>
      </c>
      <c r="G36" s="85">
        <f t="shared" si="3"/>
        <v>0</v>
      </c>
      <c r="H36" s="85">
        <f t="shared" si="3"/>
        <v>0</v>
      </c>
      <c r="I36" s="85">
        <f t="shared" si="3"/>
        <v>0</v>
      </c>
      <c r="J36" s="85">
        <f t="shared" si="3"/>
        <v>0</v>
      </c>
      <c r="K36" s="85">
        <f t="shared" si="3"/>
        <v>0</v>
      </c>
      <c r="L36" s="85">
        <f t="shared" si="3"/>
        <v>0</v>
      </c>
      <c r="M36" s="121">
        <f t="shared" si="3"/>
        <v>0</v>
      </c>
    </row>
    <row r="37" spans="1:13">
      <c r="A37" s="156"/>
      <c r="B37" s="97" t="s">
        <v>1478</v>
      </c>
      <c r="C37" s="88">
        <f t="shared" ref="C37:C43" si="4">SUM(D37:M37)</f>
        <v>0</v>
      </c>
      <c r="D37" s="102">
        <f t="shared" ref="D37:M37" si="5">D8-D23</f>
        <v>0</v>
      </c>
      <c r="E37" s="85">
        <f t="shared" si="5"/>
        <v>0</v>
      </c>
      <c r="F37" s="85">
        <f t="shared" si="5"/>
        <v>0</v>
      </c>
      <c r="G37" s="85">
        <f t="shared" si="5"/>
        <v>0</v>
      </c>
      <c r="H37" s="85">
        <f t="shared" si="5"/>
        <v>0</v>
      </c>
      <c r="I37" s="85">
        <f t="shared" si="5"/>
        <v>0</v>
      </c>
      <c r="J37" s="85">
        <f t="shared" si="5"/>
        <v>0</v>
      </c>
      <c r="K37" s="85">
        <f t="shared" si="5"/>
        <v>0</v>
      </c>
      <c r="L37" s="122">
        <f t="shared" si="5"/>
        <v>0</v>
      </c>
      <c r="M37" s="103">
        <f t="shared" si="5"/>
        <v>0</v>
      </c>
    </row>
    <row r="38" spans="1:13">
      <c r="A38" s="156"/>
      <c r="B38" s="120" t="s">
        <v>1479</v>
      </c>
      <c r="C38" s="88">
        <f t="shared" si="4"/>
        <v>22058714.549999997</v>
      </c>
      <c r="D38" s="102">
        <f t="shared" ref="D38:M38" si="6">D9-D24</f>
        <v>0</v>
      </c>
      <c r="E38" s="85">
        <f t="shared" si="6"/>
        <v>9140375.9718360081</v>
      </c>
      <c r="F38" s="85">
        <f t="shared" si="6"/>
        <v>12918338.578163989</v>
      </c>
      <c r="G38" s="85">
        <f t="shared" si="6"/>
        <v>0</v>
      </c>
      <c r="H38" s="85">
        <f t="shared" si="6"/>
        <v>0</v>
      </c>
      <c r="I38" s="85">
        <f t="shared" si="6"/>
        <v>0</v>
      </c>
      <c r="J38" s="85">
        <f t="shared" si="6"/>
        <v>0</v>
      </c>
      <c r="K38" s="85">
        <f t="shared" si="6"/>
        <v>0</v>
      </c>
      <c r="L38" s="122">
        <f t="shared" si="6"/>
        <v>0</v>
      </c>
      <c r="M38" s="103">
        <f t="shared" si="6"/>
        <v>0</v>
      </c>
    </row>
    <row r="39" spans="1:13">
      <c r="A39" s="156"/>
      <c r="B39" s="97" t="s">
        <v>1480</v>
      </c>
      <c r="C39" s="88">
        <f>SUM(D39:M39)</f>
        <v>45731743.805664599</v>
      </c>
      <c r="D39" s="102">
        <f>D10-D25</f>
        <v>0</v>
      </c>
      <c r="E39" s="85">
        <f t="shared" ref="E39:M39" si="7">E10-E25</f>
        <v>1504586.9524267269</v>
      </c>
      <c r="F39" s="85">
        <f t="shared" si="7"/>
        <v>5528394.6066547334</v>
      </c>
      <c r="G39" s="85">
        <f t="shared" si="7"/>
        <v>5528394.6066547334</v>
      </c>
      <c r="H39" s="85">
        <f t="shared" si="7"/>
        <v>5528394.6066547334</v>
      </c>
      <c r="I39" s="85">
        <f t="shared" si="7"/>
        <v>5528394.6066547334</v>
      </c>
      <c r="J39" s="85">
        <f t="shared" si="7"/>
        <v>5528394.6066547334</v>
      </c>
      <c r="K39" s="85">
        <f t="shared" si="7"/>
        <v>5528394.6066547334</v>
      </c>
      <c r="L39" s="122">
        <f t="shared" si="7"/>
        <v>5528394.6066547334</v>
      </c>
      <c r="M39" s="103">
        <f t="shared" si="7"/>
        <v>5528394.6066547334</v>
      </c>
    </row>
    <row r="40" spans="1:13">
      <c r="A40" s="156"/>
      <c r="B40" s="97" t="s">
        <v>1481</v>
      </c>
      <c r="C40" s="88">
        <f t="shared" si="4"/>
        <v>0</v>
      </c>
      <c r="D40" s="102">
        <f t="shared" ref="D40:M40" si="8">D11</f>
        <v>0</v>
      </c>
      <c r="E40" s="85">
        <f t="shared" si="8"/>
        <v>0</v>
      </c>
      <c r="F40" s="85">
        <f t="shared" si="8"/>
        <v>0</v>
      </c>
      <c r="G40" s="85">
        <f t="shared" si="8"/>
        <v>0</v>
      </c>
      <c r="H40" s="85">
        <f t="shared" si="8"/>
        <v>0</v>
      </c>
      <c r="I40" s="85">
        <f t="shared" si="8"/>
        <v>0</v>
      </c>
      <c r="J40" s="85">
        <f t="shared" si="8"/>
        <v>0</v>
      </c>
      <c r="K40" s="85">
        <f t="shared" si="8"/>
        <v>0</v>
      </c>
      <c r="L40" s="122">
        <f t="shared" si="8"/>
        <v>0</v>
      </c>
      <c r="M40" s="103">
        <f t="shared" si="8"/>
        <v>0</v>
      </c>
    </row>
    <row r="41" spans="1:13">
      <c r="A41" s="156"/>
      <c r="B41" s="97" t="s">
        <v>1488</v>
      </c>
      <c r="C41" s="88">
        <f t="shared" si="4"/>
        <v>0</v>
      </c>
      <c r="D41" s="102">
        <f t="shared" ref="D41:M41" si="9">D12-D26</f>
        <v>0</v>
      </c>
      <c r="E41" s="85">
        <f t="shared" si="9"/>
        <v>0</v>
      </c>
      <c r="F41" s="85">
        <f t="shared" si="9"/>
        <v>0</v>
      </c>
      <c r="G41" s="85">
        <f t="shared" si="9"/>
        <v>0</v>
      </c>
      <c r="H41" s="85">
        <f t="shared" si="9"/>
        <v>0</v>
      </c>
      <c r="I41" s="85">
        <f t="shared" si="9"/>
        <v>0</v>
      </c>
      <c r="J41" s="85">
        <f t="shared" si="9"/>
        <v>0</v>
      </c>
      <c r="K41" s="85">
        <f t="shared" si="9"/>
        <v>0</v>
      </c>
      <c r="L41" s="122">
        <f t="shared" si="9"/>
        <v>0</v>
      </c>
      <c r="M41" s="103">
        <f t="shared" si="9"/>
        <v>0</v>
      </c>
    </row>
    <row r="42" spans="1:13">
      <c r="A42" s="156"/>
      <c r="B42" s="98" t="s">
        <v>1489</v>
      </c>
      <c r="C42" s="89">
        <f t="shared" si="4"/>
        <v>0</v>
      </c>
      <c r="D42" s="102">
        <f t="shared" ref="D42:M42" si="10">D13-D27</f>
        <v>0</v>
      </c>
      <c r="E42" s="85">
        <f t="shared" si="10"/>
        <v>0</v>
      </c>
      <c r="F42" s="85">
        <f t="shared" si="10"/>
        <v>0</v>
      </c>
      <c r="G42" s="85">
        <f t="shared" si="10"/>
        <v>0</v>
      </c>
      <c r="H42" s="85">
        <f t="shared" si="10"/>
        <v>0</v>
      </c>
      <c r="I42" s="85">
        <f t="shared" si="10"/>
        <v>0</v>
      </c>
      <c r="J42" s="85">
        <f t="shared" si="10"/>
        <v>0</v>
      </c>
      <c r="K42" s="85">
        <f t="shared" si="10"/>
        <v>0</v>
      </c>
      <c r="L42" s="122">
        <f t="shared" si="10"/>
        <v>0</v>
      </c>
      <c r="M42" s="103">
        <f t="shared" si="10"/>
        <v>0</v>
      </c>
    </row>
    <row r="43" spans="1:13" ht="15.75" thickBot="1">
      <c r="A43" s="156"/>
      <c r="B43" s="97" t="s">
        <v>1484</v>
      </c>
      <c r="C43" s="88">
        <f t="shared" si="4"/>
        <v>326304</v>
      </c>
      <c r="D43" s="102">
        <f t="shared" ref="D43:M43" si="11">D14</f>
        <v>130521.60000000001</v>
      </c>
      <c r="E43" s="85">
        <f t="shared" si="11"/>
        <v>130521.60000000001</v>
      </c>
      <c r="F43" s="85">
        <f t="shared" si="11"/>
        <v>65260.800000000003</v>
      </c>
      <c r="G43" s="85">
        <f t="shared" si="11"/>
        <v>0</v>
      </c>
      <c r="H43" s="85">
        <f t="shared" si="11"/>
        <v>0</v>
      </c>
      <c r="I43" s="85">
        <f t="shared" si="11"/>
        <v>0</v>
      </c>
      <c r="J43" s="85">
        <f t="shared" si="11"/>
        <v>0</v>
      </c>
      <c r="K43" s="85">
        <f t="shared" si="11"/>
        <v>0</v>
      </c>
      <c r="L43" s="122">
        <f t="shared" si="11"/>
        <v>0</v>
      </c>
      <c r="M43" s="103">
        <f t="shared" si="11"/>
        <v>0</v>
      </c>
    </row>
    <row r="44" spans="1:13" ht="15.75" thickBot="1">
      <c r="A44" s="157"/>
      <c r="B44" s="84" t="s">
        <v>1485</v>
      </c>
      <c r="C44" s="90">
        <f>SUM(D44:M44)</f>
        <v>68116762.355664596</v>
      </c>
      <c r="D44" s="86">
        <f>SUM(D36:D43)</f>
        <v>130521.60000000001</v>
      </c>
      <c r="E44" s="86">
        <f t="shared" ref="E44:M44" si="12">SUM(E36:E43)</f>
        <v>10775484.524262736</v>
      </c>
      <c r="F44" s="86">
        <f t="shared" si="12"/>
        <v>18511993.984818723</v>
      </c>
      <c r="G44" s="86">
        <f t="shared" si="12"/>
        <v>5528394.6066547334</v>
      </c>
      <c r="H44" s="86">
        <f t="shared" si="12"/>
        <v>5528394.6066547334</v>
      </c>
      <c r="I44" s="86">
        <f t="shared" si="12"/>
        <v>5528394.6066547334</v>
      </c>
      <c r="J44" s="86">
        <f t="shared" si="12"/>
        <v>5528394.6066547334</v>
      </c>
      <c r="K44" s="86">
        <f t="shared" si="12"/>
        <v>5528394.6066547334</v>
      </c>
      <c r="L44" s="86">
        <f t="shared" si="12"/>
        <v>5528394.6066547334</v>
      </c>
      <c r="M44" s="86">
        <f t="shared" si="12"/>
        <v>5528394.6066547334</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0">
    <tabColor rgb="FFFFFF00"/>
    <outlinePr summaryBelow="0" summaryRight="0"/>
  </sheetPr>
  <dimension ref="A1:E75"/>
  <sheetViews>
    <sheetView zoomScale="110" zoomScaleNormal="110" workbookViewId="0">
      <pane xSplit="3" ySplit="4" topLeftCell="D6" activePane="bottomRight" state="frozen"/>
      <selection pane="topRight" activeCell="G18" sqref="G18"/>
      <selection pane="bottomLeft" activeCell="G18" sqref="G18"/>
      <selection pane="bottomRight" activeCell="G31" sqref="G31"/>
    </sheetView>
  </sheetViews>
  <sheetFormatPr defaultColWidth="8.85546875" defaultRowHeight="15" outlineLevelRow="2"/>
  <cols>
    <col min="1" max="1" width="22.42578125" customWidth="1"/>
    <col min="2" max="2" width="24.7109375" customWidth="1"/>
    <col min="3" max="3" width="22.42578125" customWidth="1"/>
    <col min="4" max="4" width="11" customWidth="1"/>
    <col min="5" max="5" width="17.85546875" customWidth="1"/>
  </cols>
  <sheetData>
    <row r="1" spans="1:5" ht="25.35" customHeight="1" thickBot="1">
      <c r="A1" s="819" t="s">
        <v>1490</v>
      </c>
      <c r="B1" s="819"/>
      <c r="C1" s="819"/>
      <c r="D1" s="820"/>
      <c r="E1" s="66" t="s">
        <v>150</v>
      </c>
    </row>
    <row r="2" spans="1:5" ht="15.75" collapsed="1" thickBot="1">
      <c r="A2" s="36" t="s">
        <v>1491</v>
      </c>
      <c r="B2" s="70" t="s">
        <v>1492</v>
      </c>
      <c r="C2" s="70" t="s">
        <v>1493</v>
      </c>
      <c r="D2" s="70" t="s">
        <v>160</v>
      </c>
      <c r="E2" s="17"/>
    </row>
    <row r="3" spans="1:5" ht="15.75" thickBot="1">
      <c r="A3" s="821" t="s">
        <v>1494</v>
      </c>
      <c r="B3" s="822"/>
      <c r="C3" s="822"/>
      <c r="D3" s="75"/>
      <c r="E3" s="72">
        <f>E4+E25</f>
        <v>0</v>
      </c>
    </row>
    <row r="4" spans="1:5" ht="15.75" outlineLevel="1" thickBot="1">
      <c r="A4" s="17" t="s">
        <v>1495</v>
      </c>
      <c r="B4" s="17"/>
      <c r="C4" s="17"/>
      <c r="D4" s="27"/>
      <c r="E4" s="107">
        <f>SUM(E5:E24)</f>
        <v>0</v>
      </c>
    </row>
    <row r="5" spans="1:5" outlineLevel="2">
      <c r="A5" s="817" t="s">
        <v>1496</v>
      </c>
      <c r="B5" s="818" t="s">
        <v>1497</v>
      </c>
      <c r="C5" s="818">
        <v>635009</v>
      </c>
      <c r="D5" s="63" t="s">
        <v>164</v>
      </c>
      <c r="E5" s="565">
        <v>0</v>
      </c>
    </row>
    <row r="6" spans="1:5" outlineLevel="2">
      <c r="A6" s="817"/>
      <c r="B6" s="818"/>
      <c r="C6" s="818"/>
      <c r="D6" s="64" t="s">
        <v>165</v>
      </c>
      <c r="E6" s="565">
        <v>0</v>
      </c>
    </row>
    <row r="7" spans="1:5" outlineLevel="2">
      <c r="A7" s="817"/>
      <c r="B7" s="818"/>
      <c r="C7" s="818"/>
      <c r="D7" s="64" t="s">
        <v>166</v>
      </c>
      <c r="E7" s="565">
        <v>0</v>
      </c>
    </row>
    <row r="8" spans="1:5" outlineLevel="2">
      <c r="A8" s="817"/>
      <c r="B8" s="818"/>
      <c r="C8" s="818"/>
      <c r="D8" s="64" t="s">
        <v>167</v>
      </c>
      <c r="E8" s="565">
        <v>0</v>
      </c>
    </row>
    <row r="9" spans="1:5" outlineLevel="2">
      <c r="A9" s="817"/>
      <c r="B9" s="818"/>
      <c r="C9" s="818"/>
      <c r="D9" s="64" t="s">
        <v>168</v>
      </c>
      <c r="E9" s="565">
        <v>0</v>
      </c>
    </row>
    <row r="10" spans="1:5" outlineLevel="2">
      <c r="A10" s="817"/>
      <c r="B10" s="818"/>
      <c r="C10" s="818"/>
      <c r="D10" s="64" t="s">
        <v>169</v>
      </c>
      <c r="E10" s="565">
        <v>0</v>
      </c>
    </row>
    <row r="11" spans="1:5" outlineLevel="2">
      <c r="A11" s="817"/>
      <c r="B11" s="818"/>
      <c r="C11" s="818"/>
      <c r="D11" s="64" t="s">
        <v>170</v>
      </c>
      <c r="E11" s="565">
        <v>0</v>
      </c>
    </row>
    <row r="12" spans="1:5" outlineLevel="2">
      <c r="A12" s="817"/>
      <c r="B12" s="818"/>
      <c r="C12" s="818"/>
      <c r="D12" s="64" t="s">
        <v>171</v>
      </c>
      <c r="E12" s="565">
        <v>0</v>
      </c>
    </row>
    <row r="13" spans="1:5" outlineLevel="2">
      <c r="A13" s="817"/>
      <c r="B13" s="818"/>
      <c r="C13" s="818"/>
      <c r="D13" s="64" t="s">
        <v>172</v>
      </c>
      <c r="E13" s="565">
        <v>0</v>
      </c>
    </row>
    <row r="14" spans="1:5" ht="15.75" outlineLevel="2" thickBot="1">
      <c r="A14" s="817"/>
      <c r="B14" s="818"/>
      <c r="C14" s="818"/>
      <c r="D14" s="65" t="s">
        <v>173</v>
      </c>
      <c r="E14" s="565">
        <v>0</v>
      </c>
    </row>
    <row r="15" spans="1:5" outlineLevel="2">
      <c r="A15" s="817" t="s">
        <v>1498</v>
      </c>
      <c r="B15" s="818" t="s">
        <v>1499</v>
      </c>
      <c r="C15" s="818">
        <v>718006</v>
      </c>
      <c r="D15" s="63" t="s">
        <v>164</v>
      </c>
      <c r="E15" s="565">
        <v>0</v>
      </c>
    </row>
    <row r="16" spans="1:5" outlineLevel="2">
      <c r="A16" s="817"/>
      <c r="B16" s="818"/>
      <c r="C16" s="818"/>
      <c r="D16" s="64" t="s">
        <v>165</v>
      </c>
      <c r="E16" s="565">
        <v>0</v>
      </c>
    </row>
    <row r="17" spans="1:5" outlineLevel="2">
      <c r="A17" s="817"/>
      <c r="B17" s="818"/>
      <c r="C17" s="818"/>
      <c r="D17" s="64" t="s">
        <v>166</v>
      </c>
      <c r="E17" s="565">
        <v>0</v>
      </c>
    </row>
    <row r="18" spans="1:5" outlineLevel="2">
      <c r="A18" s="817"/>
      <c r="B18" s="818"/>
      <c r="C18" s="818"/>
      <c r="D18" s="64" t="s">
        <v>167</v>
      </c>
      <c r="E18" s="565">
        <v>0</v>
      </c>
    </row>
    <row r="19" spans="1:5" outlineLevel="2">
      <c r="A19" s="817"/>
      <c r="B19" s="818"/>
      <c r="C19" s="818"/>
      <c r="D19" s="64" t="s">
        <v>168</v>
      </c>
      <c r="E19" s="565">
        <v>0</v>
      </c>
    </row>
    <row r="20" spans="1:5" outlineLevel="2">
      <c r="A20" s="817"/>
      <c r="B20" s="818"/>
      <c r="C20" s="818"/>
      <c r="D20" s="64" t="s">
        <v>169</v>
      </c>
      <c r="E20" s="565">
        <v>0</v>
      </c>
    </row>
    <row r="21" spans="1:5" outlineLevel="2">
      <c r="A21" s="817"/>
      <c r="B21" s="818"/>
      <c r="C21" s="818"/>
      <c r="D21" s="64" t="s">
        <v>170</v>
      </c>
      <c r="E21" s="565">
        <v>0</v>
      </c>
    </row>
    <row r="22" spans="1:5" outlineLevel="2">
      <c r="A22" s="817"/>
      <c r="B22" s="818"/>
      <c r="C22" s="818"/>
      <c r="D22" s="64" t="s">
        <v>171</v>
      </c>
      <c r="E22" s="565">
        <v>0</v>
      </c>
    </row>
    <row r="23" spans="1:5" outlineLevel="2">
      <c r="A23" s="817"/>
      <c r="B23" s="818"/>
      <c r="C23" s="818"/>
      <c r="D23" s="64" t="s">
        <v>172</v>
      </c>
      <c r="E23" s="565">
        <v>0</v>
      </c>
    </row>
    <row r="24" spans="1:5" ht="15.75" outlineLevel="2" thickBot="1">
      <c r="A24" s="817"/>
      <c r="B24" s="818"/>
      <c r="C24" s="818"/>
      <c r="D24" s="65" t="s">
        <v>173</v>
      </c>
      <c r="E24" s="566">
        <v>0</v>
      </c>
    </row>
    <row r="25" spans="1:5" ht="15.75" outlineLevel="1" thickBot="1">
      <c r="A25" s="17" t="s">
        <v>101</v>
      </c>
      <c r="B25" s="17"/>
      <c r="C25" s="17"/>
      <c r="D25" s="27"/>
      <c r="E25" s="109">
        <f>SUM(E26:E75)</f>
        <v>0</v>
      </c>
    </row>
    <row r="26" spans="1:5" outlineLevel="2">
      <c r="A26" s="817" t="s">
        <v>1500</v>
      </c>
      <c r="B26" s="818" t="s">
        <v>1497</v>
      </c>
      <c r="C26" s="818">
        <v>635009</v>
      </c>
      <c r="D26" s="63" t="s">
        <v>164</v>
      </c>
      <c r="E26" s="568">
        <v>0</v>
      </c>
    </row>
    <row r="27" spans="1:5" outlineLevel="2">
      <c r="A27" s="817"/>
      <c r="B27" s="818"/>
      <c r="C27" s="818"/>
      <c r="D27" s="64" t="s">
        <v>165</v>
      </c>
      <c r="E27" s="568">
        <v>0</v>
      </c>
    </row>
    <row r="28" spans="1:5" outlineLevel="2">
      <c r="A28" s="817"/>
      <c r="B28" s="818"/>
      <c r="C28" s="818"/>
      <c r="D28" s="64" t="s">
        <v>166</v>
      </c>
      <c r="E28" s="568">
        <v>0</v>
      </c>
    </row>
    <row r="29" spans="1:5" outlineLevel="2">
      <c r="A29" s="817"/>
      <c r="B29" s="818"/>
      <c r="C29" s="818"/>
      <c r="D29" s="64" t="s">
        <v>167</v>
      </c>
      <c r="E29" s="568">
        <v>0</v>
      </c>
    </row>
    <row r="30" spans="1:5" outlineLevel="2">
      <c r="A30" s="817"/>
      <c r="B30" s="818"/>
      <c r="C30" s="818"/>
      <c r="D30" s="64" t="s">
        <v>168</v>
      </c>
      <c r="E30" s="568">
        <v>0</v>
      </c>
    </row>
    <row r="31" spans="1:5" outlineLevel="2">
      <c r="A31" s="817"/>
      <c r="B31" s="818"/>
      <c r="C31" s="818"/>
      <c r="D31" s="64" t="s">
        <v>169</v>
      </c>
      <c r="E31" s="568">
        <v>0</v>
      </c>
    </row>
    <row r="32" spans="1:5" outlineLevel="2">
      <c r="A32" s="817"/>
      <c r="B32" s="818"/>
      <c r="C32" s="818"/>
      <c r="D32" s="64" t="s">
        <v>170</v>
      </c>
      <c r="E32" s="568">
        <v>0</v>
      </c>
    </row>
    <row r="33" spans="1:5" outlineLevel="2">
      <c r="A33" s="817"/>
      <c r="B33" s="818"/>
      <c r="C33" s="818"/>
      <c r="D33" s="64" t="s">
        <v>171</v>
      </c>
      <c r="E33" s="568"/>
    </row>
    <row r="34" spans="1:5" outlineLevel="2">
      <c r="A34" s="817"/>
      <c r="B34" s="818"/>
      <c r="C34" s="818"/>
      <c r="D34" s="64" t="s">
        <v>172</v>
      </c>
      <c r="E34" s="568"/>
    </row>
    <row r="35" spans="1:5" ht="15.75" outlineLevel="2" thickBot="1">
      <c r="A35" s="817"/>
      <c r="B35" s="818"/>
      <c r="C35" s="818"/>
      <c r="D35" s="65" t="s">
        <v>173</v>
      </c>
      <c r="E35" s="568"/>
    </row>
    <row r="36" spans="1:5" outlineLevel="2">
      <c r="A36" s="817" t="s">
        <v>1501</v>
      </c>
      <c r="B36" s="818" t="s">
        <v>1497</v>
      </c>
      <c r="C36" s="818">
        <v>635009</v>
      </c>
      <c r="D36" s="63" t="s">
        <v>164</v>
      </c>
      <c r="E36" s="567">
        <v>0</v>
      </c>
    </row>
    <row r="37" spans="1:5" outlineLevel="2">
      <c r="A37" s="817"/>
      <c r="B37" s="818"/>
      <c r="C37" s="818"/>
      <c r="D37" s="64" t="s">
        <v>165</v>
      </c>
      <c r="E37" s="568">
        <v>0</v>
      </c>
    </row>
    <row r="38" spans="1:5" outlineLevel="2">
      <c r="A38" s="817"/>
      <c r="B38" s="818"/>
      <c r="C38" s="818"/>
      <c r="D38" s="64" t="s">
        <v>166</v>
      </c>
      <c r="E38" s="568">
        <v>0</v>
      </c>
    </row>
    <row r="39" spans="1:5" outlineLevel="2">
      <c r="A39" s="817"/>
      <c r="B39" s="818"/>
      <c r="C39" s="818"/>
      <c r="D39" s="64" t="s">
        <v>167</v>
      </c>
      <c r="E39" s="568">
        <v>0</v>
      </c>
    </row>
    <row r="40" spans="1:5" outlineLevel="2">
      <c r="A40" s="817"/>
      <c r="B40" s="818"/>
      <c r="C40" s="818"/>
      <c r="D40" s="64" t="s">
        <v>168</v>
      </c>
      <c r="E40" s="568">
        <v>0</v>
      </c>
    </row>
    <row r="41" spans="1:5" outlineLevel="2">
      <c r="A41" s="817"/>
      <c r="B41" s="818"/>
      <c r="C41" s="818"/>
      <c r="D41" s="64" t="s">
        <v>169</v>
      </c>
      <c r="E41" s="568">
        <v>0</v>
      </c>
    </row>
    <row r="42" spans="1:5" outlineLevel="2">
      <c r="A42" s="817"/>
      <c r="B42" s="818"/>
      <c r="C42" s="818"/>
      <c r="D42" s="64" t="s">
        <v>170</v>
      </c>
      <c r="E42" s="568">
        <v>0</v>
      </c>
    </row>
    <row r="43" spans="1:5" outlineLevel="2">
      <c r="A43" s="817"/>
      <c r="B43" s="818"/>
      <c r="C43" s="818"/>
      <c r="D43" s="64" t="s">
        <v>171</v>
      </c>
      <c r="E43" s="568">
        <v>0</v>
      </c>
    </row>
    <row r="44" spans="1:5" outlineLevel="2">
      <c r="A44" s="817"/>
      <c r="B44" s="818"/>
      <c r="C44" s="818"/>
      <c r="D44" s="64" t="s">
        <v>172</v>
      </c>
      <c r="E44" s="568">
        <v>0</v>
      </c>
    </row>
    <row r="45" spans="1:5" ht="15.75" outlineLevel="2" thickBot="1">
      <c r="A45" s="817"/>
      <c r="B45" s="818"/>
      <c r="C45" s="818"/>
      <c r="D45" s="65" t="s">
        <v>173</v>
      </c>
      <c r="E45" s="569">
        <v>0</v>
      </c>
    </row>
    <row r="46" spans="1:5" outlineLevel="2">
      <c r="A46" s="817" t="s">
        <v>1502</v>
      </c>
      <c r="B46" s="818" t="s">
        <v>1499</v>
      </c>
      <c r="C46" s="818">
        <v>718006</v>
      </c>
      <c r="D46" s="63" t="s">
        <v>164</v>
      </c>
      <c r="E46" s="568">
        <v>0</v>
      </c>
    </row>
    <row r="47" spans="1:5" outlineLevel="2">
      <c r="A47" s="817"/>
      <c r="B47" s="818"/>
      <c r="C47" s="818"/>
      <c r="D47" s="64" t="s">
        <v>165</v>
      </c>
      <c r="E47" s="568">
        <v>0</v>
      </c>
    </row>
    <row r="48" spans="1:5" outlineLevel="2">
      <c r="A48" s="817"/>
      <c r="B48" s="818"/>
      <c r="C48" s="818"/>
      <c r="D48" s="64" t="s">
        <v>166</v>
      </c>
      <c r="E48" s="568">
        <v>0</v>
      </c>
    </row>
    <row r="49" spans="1:5" outlineLevel="2">
      <c r="A49" s="817"/>
      <c r="B49" s="818"/>
      <c r="C49" s="818"/>
      <c r="D49" s="64" t="s">
        <v>167</v>
      </c>
      <c r="E49" s="568">
        <v>0</v>
      </c>
    </row>
    <row r="50" spans="1:5" outlineLevel="2">
      <c r="A50" s="817"/>
      <c r="B50" s="818"/>
      <c r="C50" s="818"/>
      <c r="D50" s="64" t="s">
        <v>168</v>
      </c>
      <c r="E50" s="568">
        <v>0</v>
      </c>
    </row>
    <row r="51" spans="1:5" outlineLevel="2">
      <c r="A51" s="817"/>
      <c r="B51" s="818"/>
      <c r="C51" s="818"/>
      <c r="D51" s="64" t="s">
        <v>169</v>
      </c>
      <c r="E51" s="568">
        <v>0</v>
      </c>
    </row>
    <row r="52" spans="1:5" outlineLevel="2">
      <c r="A52" s="817"/>
      <c r="B52" s="818"/>
      <c r="C52" s="818"/>
      <c r="D52" s="64" t="s">
        <v>170</v>
      </c>
      <c r="E52" s="568">
        <v>0</v>
      </c>
    </row>
    <row r="53" spans="1:5" outlineLevel="2">
      <c r="A53" s="817"/>
      <c r="B53" s="818"/>
      <c r="C53" s="818"/>
      <c r="D53" s="64" t="s">
        <v>171</v>
      </c>
      <c r="E53" s="568">
        <v>0</v>
      </c>
    </row>
    <row r="54" spans="1:5" outlineLevel="2">
      <c r="A54" s="817"/>
      <c r="B54" s="818"/>
      <c r="C54" s="818"/>
      <c r="D54" s="64" t="s">
        <v>172</v>
      </c>
      <c r="E54" s="568">
        <v>0</v>
      </c>
    </row>
    <row r="55" spans="1:5" ht="15.75" outlineLevel="2" thickBot="1">
      <c r="A55" s="817"/>
      <c r="B55" s="818"/>
      <c r="C55" s="818"/>
      <c r="D55" s="65" t="s">
        <v>173</v>
      </c>
      <c r="E55" s="568">
        <v>0</v>
      </c>
    </row>
    <row r="56" spans="1:5" outlineLevel="2">
      <c r="A56" s="817" t="s">
        <v>1503</v>
      </c>
      <c r="B56" s="818" t="s">
        <v>1504</v>
      </c>
      <c r="C56" s="818">
        <v>610</v>
      </c>
      <c r="D56" s="63" t="s">
        <v>164</v>
      </c>
      <c r="E56" s="567">
        <v>0</v>
      </c>
    </row>
    <row r="57" spans="1:5" outlineLevel="2">
      <c r="A57" s="817"/>
      <c r="B57" s="818"/>
      <c r="C57" s="818"/>
      <c r="D57" s="64" t="s">
        <v>165</v>
      </c>
      <c r="E57" s="568">
        <v>0</v>
      </c>
    </row>
    <row r="58" spans="1:5" outlineLevel="2">
      <c r="A58" s="817"/>
      <c r="B58" s="818"/>
      <c r="C58" s="818"/>
      <c r="D58" s="64" t="s">
        <v>166</v>
      </c>
      <c r="E58" s="568">
        <v>0</v>
      </c>
    </row>
    <row r="59" spans="1:5" outlineLevel="2">
      <c r="A59" s="817"/>
      <c r="B59" s="818"/>
      <c r="C59" s="818"/>
      <c r="D59" s="64" t="s">
        <v>167</v>
      </c>
      <c r="E59" s="568">
        <v>0</v>
      </c>
    </row>
    <row r="60" spans="1:5" outlineLevel="2">
      <c r="A60" s="817"/>
      <c r="B60" s="818"/>
      <c r="C60" s="818"/>
      <c r="D60" s="64" t="s">
        <v>168</v>
      </c>
      <c r="E60" s="568">
        <v>0</v>
      </c>
    </row>
    <row r="61" spans="1:5" outlineLevel="2">
      <c r="A61" s="817"/>
      <c r="B61" s="818"/>
      <c r="C61" s="818"/>
      <c r="D61" s="64" t="s">
        <v>169</v>
      </c>
      <c r="E61" s="568">
        <v>0</v>
      </c>
    </row>
    <row r="62" spans="1:5" outlineLevel="2">
      <c r="A62" s="817"/>
      <c r="B62" s="818"/>
      <c r="C62" s="818"/>
      <c r="D62" s="64" t="s">
        <v>170</v>
      </c>
      <c r="E62" s="568">
        <v>0</v>
      </c>
    </row>
    <row r="63" spans="1:5" outlineLevel="2">
      <c r="A63" s="817"/>
      <c r="B63" s="818"/>
      <c r="C63" s="818"/>
      <c r="D63" s="64" t="s">
        <v>171</v>
      </c>
      <c r="E63" s="568">
        <v>0</v>
      </c>
    </row>
    <row r="64" spans="1:5" outlineLevel="2">
      <c r="A64" s="817"/>
      <c r="B64" s="818"/>
      <c r="C64" s="818"/>
      <c r="D64" s="64" t="s">
        <v>172</v>
      </c>
      <c r="E64" s="568">
        <v>0</v>
      </c>
    </row>
    <row r="65" spans="1:5" ht="15.75" outlineLevel="2" thickBot="1">
      <c r="A65" s="817"/>
      <c r="B65" s="818"/>
      <c r="C65" s="818"/>
      <c r="D65" s="65" t="s">
        <v>173</v>
      </c>
      <c r="E65" s="569">
        <v>0</v>
      </c>
    </row>
    <row r="66" spans="1:5" outlineLevel="2">
      <c r="A66" s="817" t="s">
        <v>1505</v>
      </c>
      <c r="B66" s="818" t="s">
        <v>1506</v>
      </c>
      <c r="C66" s="818">
        <v>637040</v>
      </c>
      <c r="D66" s="63" t="s">
        <v>164</v>
      </c>
      <c r="E66" s="568">
        <v>0</v>
      </c>
    </row>
    <row r="67" spans="1:5" outlineLevel="2">
      <c r="A67" s="817"/>
      <c r="B67" s="818"/>
      <c r="C67" s="818"/>
      <c r="D67" s="64" t="s">
        <v>165</v>
      </c>
      <c r="E67" s="568">
        <v>0</v>
      </c>
    </row>
    <row r="68" spans="1:5" outlineLevel="2">
      <c r="A68" s="817"/>
      <c r="B68" s="818"/>
      <c r="C68" s="818"/>
      <c r="D68" s="64" t="s">
        <v>166</v>
      </c>
      <c r="E68" s="568">
        <v>0</v>
      </c>
    </row>
    <row r="69" spans="1:5" outlineLevel="2">
      <c r="A69" s="817"/>
      <c r="B69" s="818"/>
      <c r="C69" s="818"/>
      <c r="D69" s="64" t="s">
        <v>167</v>
      </c>
      <c r="E69" s="568">
        <v>0</v>
      </c>
    </row>
    <row r="70" spans="1:5" outlineLevel="2">
      <c r="A70" s="817"/>
      <c r="B70" s="818"/>
      <c r="C70" s="818"/>
      <c r="D70" s="64" t="s">
        <v>168</v>
      </c>
      <c r="E70" s="568">
        <v>0</v>
      </c>
    </row>
    <row r="71" spans="1:5" outlineLevel="2">
      <c r="A71" s="817"/>
      <c r="B71" s="818"/>
      <c r="C71" s="818"/>
      <c r="D71" s="64" t="s">
        <v>169</v>
      </c>
      <c r="E71" s="568">
        <v>0</v>
      </c>
    </row>
    <row r="72" spans="1:5" outlineLevel="2">
      <c r="A72" s="817"/>
      <c r="B72" s="818"/>
      <c r="C72" s="818"/>
      <c r="D72" s="64" t="s">
        <v>170</v>
      </c>
      <c r="E72" s="568">
        <v>0</v>
      </c>
    </row>
    <row r="73" spans="1:5" outlineLevel="2">
      <c r="A73" s="817"/>
      <c r="B73" s="818"/>
      <c r="C73" s="818"/>
      <c r="D73" s="64" t="s">
        <v>171</v>
      </c>
      <c r="E73" s="568">
        <v>0</v>
      </c>
    </row>
    <row r="74" spans="1:5" outlineLevel="2">
      <c r="A74" s="817"/>
      <c r="B74" s="818"/>
      <c r="C74" s="818"/>
      <c r="D74" s="64" t="s">
        <v>172</v>
      </c>
      <c r="E74" s="568">
        <v>0</v>
      </c>
    </row>
    <row r="75" spans="1:5" ht="15.75" outlineLevel="2" thickBot="1">
      <c r="A75" s="817"/>
      <c r="B75" s="818"/>
      <c r="C75" s="818"/>
      <c r="D75" s="65" t="s">
        <v>173</v>
      </c>
      <c r="E75" s="569">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1">
    <tabColor rgb="FFFFFF00"/>
    <outlinePr summaryBelow="0" summaryRight="0"/>
  </sheetPr>
  <dimension ref="A1:E53"/>
  <sheetViews>
    <sheetView view="pageBreakPreview" zoomScale="110" zoomScaleNormal="85" zoomScaleSheetLayoutView="110" workbookViewId="0">
      <selection activeCell="E11" sqref="E11:E13"/>
    </sheetView>
  </sheetViews>
  <sheetFormatPr defaultColWidth="8.85546875" defaultRowHeight="15" outlineLevelRow="1"/>
  <cols>
    <col min="1" max="1" width="22.42578125" customWidth="1"/>
    <col min="2" max="2" width="23.28515625" customWidth="1"/>
    <col min="3" max="3" width="22.42578125" customWidth="1"/>
    <col min="5" max="5" width="17.85546875" customWidth="1"/>
  </cols>
  <sheetData>
    <row r="1" spans="1:5" ht="25.35" customHeight="1" thickBot="1">
      <c r="A1" s="819" t="s">
        <v>1507</v>
      </c>
      <c r="B1" s="819"/>
      <c r="C1" s="819"/>
      <c r="D1" s="820"/>
      <c r="E1" s="66" t="s">
        <v>150</v>
      </c>
    </row>
    <row r="2" spans="1:5" ht="15.75" thickBot="1">
      <c r="A2" s="36" t="s">
        <v>1491</v>
      </c>
      <c r="B2" s="70" t="s">
        <v>1492</v>
      </c>
      <c r="C2" s="70" t="s">
        <v>1493</v>
      </c>
      <c r="D2" s="70" t="s">
        <v>160</v>
      </c>
      <c r="E2" s="17"/>
    </row>
    <row r="3" spans="1:5" ht="15.75" thickBot="1">
      <c r="A3" s="823" t="s">
        <v>1508</v>
      </c>
      <c r="B3" s="823"/>
      <c r="C3" s="823"/>
      <c r="D3" s="71"/>
      <c r="E3" s="72">
        <f>SUM(E4:E53)</f>
        <v>0</v>
      </c>
    </row>
    <row r="4" spans="1:5" outlineLevel="1">
      <c r="A4" s="817" t="s">
        <v>1509</v>
      </c>
      <c r="B4" s="818" t="s">
        <v>1497</v>
      </c>
      <c r="C4" s="818">
        <v>635002</v>
      </c>
      <c r="D4" s="63" t="s">
        <v>164</v>
      </c>
      <c r="E4" s="567">
        <v>0</v>
      </c>
    </row>
    <row r="5" spans="1:5" outlineLevel="1">
      <c r="A5" s="817"/>
      <c r="B5" s="818"/>
      <c r="C5" s="818"/>
      <c r="D5" s="64" t="s">
        <v>165</v>
      </c>
      <c r="E5" s="568">
        <v>0</v>
      </c>
    </row>
    <row r="6" spans="1:5" outlineLevel="1">
      <c r="A6" s="817"/>
      <c r="B6" s="818"/>
      <c r="C6" s="818"/>
      <c r="D6" s="64" t="s">
        <v>166</v>
      </c>
      <c r="E6" s="568">
        <v>0</v>
      </c>
    </row>
    <row r="7" spans="1:5" outlineLevel="1">
      <c r="A7" s="817"/>
      <c r="B7" s="818"/>
      <c r="C7" s="818"/>
      <c r="D7" s="64" t="s">
        <v>167</v>
      </c>
      <c r="E7" s="568">
        <v>0</v>
      </c>
    </row>
    <row r="8" spans="1:5" outlineLevel="1">
      <c r="A8" s="817"/>
      <c r="B8" s="818"/>
      <c r="C8" s="818"/>
      <c r="D8" s="64" t="s">
        <v>168</v>
      </c>
      <c r="E8" s="568">
        <v>0</v>
      </c>
    </row>
    <row r="9" spans="1:5" outlineLevel="1">
      <c r="A9" s="817"/>
      <c r="B9" s="818"/>
      <c r="C9" s="818"/>
      <c r="D9" s="64" t="s">
        <v>169</v>
      </c>
      <c r="E9" s="568">
        <v>0</v>
      </c>
    </row>
    <row r="10" spans="1:5" outlineLevel="1">
      <c r="A10" s="817"/>
      <c r="B10" s="818"/>
      <c r="C10" s="818"/>
      <c r="D10" s="64" t="s">
        <v>170</v>
      </c>
      <c r="E10" s="568">
        <v>0</v>
      </c>
    </row>
    <row r="11" spans="1:5" outlineLevel="1">
      <c r="A11" s="817"/>
      <c r="B11" s="818"/>
      <c r="C11" s="818"/>
      <c r="D11" s="64" t="s">
        <v>171</v>
      </c>
      <c r="E11" s="568">
        <v>0</v>
      </c>
    </row>
    <row r="12" spans="1:5" outlineLevel="1">
      <c r="A12" s="817"/>
      <c r="B12" s="818"/>
      <c r="C12" s="818"/>
      <c r="D12" s="64" t="s">
        <v>172</v>
      </c>
      <c r="E12" s="568">
        <v>0</v>
      </c>
    </row>
    <row r="13" spans="1:5" ht="15.75" outlineLevel="1" thickBot="1">
      <c r="A13" s="817"/>
      <c r="B13" s="818"/>
      <c r="C13" s="818"/>
      <c r="D13" s="65" t="s">
        <v>173</v>
      </c>
      <c r="E13" s="568">
        <v>0</v>
      </c>
    </row>
    <row r="14" spans="1:5" outlineLevel="1">
      <c r="A14" s="817" t="s">
        <v>1510</v>
      </c>
      <c r="B14" s="817" t="s">
        <v>1511</v>
      </c>
      <c r="C14" s="818">
        <v>718002</v>
      </c>
      <c r="D14" s="63" t="s">
        <v>164</v>
      </c>
      <c r="E14" s="568">
        <v>0</v>
      </c>
    </row>
    <row r="15" spans="1:5" outlineLevel="1">
      <c r="A15" s="817"/>
      <c r="B15" s="818"/>
      <c r="C15" s="818"/>
      <c r="D15" s="64" t="s">
        <v>165</v>
      </c>
      <c r="E15" s="568">
        <v>0</v>
      </c>
    </row>
    <row r="16" spans="1:5" outlineLevel="1">
      <c r="A16" s="817"/>
      <c r="B16" s="818"/>
      <c r="C16" s="818"/>
      <c r="D16" s="64" t="s">
        <v>166</v>
      </c>
      <c r="E16" s="568">
        <v>0</v>
      </c>
    </row>
    <row r="17" spans="1:5" outlineLevel="1">
      <c r="A17" s="817"/>
      <c r="B17" s="818"/>
      <c r="C17" s="818"/>
      <c r="D17" s="64" t="s">
        <v>167</v>
      </c>
      <c r="E17" s="568">
        <v>0</v>
      </c>
    </row>
    <row r="18" spans="1:5" outlineLevel="1">
      <c r="A18" s="817"/>
      <c r="B18" s="818"/>
      <c r="C18" s="818"/>
      <c r="D18" s="64" t="s">
        <v>168</v>
      </c>
      <c r="E18" s="568">
        <v>0</v>
      </c>
    </row>
    <row r="19" spans="1:5" outlineLevel="1">
      <c r="A19" s="817"/>
      <c r="B19" s="818"/>
      <c r="C19" s="818"/>
      <c r="D19" s="64" t="s">
        <v>169</v>
      </c>
      <c r="E19" s="568">
        <v>0</v>
      </c>
    </row>
    <row r="20" spans="1:5" outlineLevel="1">
      <c r="A20" s="817"/>
      <c r="B20" s="818"/>
      <c r="C20" s="818"/>
      <c r="D20" s="64" t="s">
        <v>170</v>
      </c>
      <c r="E20" s="568">
        <v>0</v>
      </c>
    </row>
    <row r="21" spans="1:5" outlineLevel="1">
      <c r="A21" s="817"/>
      <c r="B21" s="818"/>
      <c r="C21" s="818"/>
      <c r="D21" s="64" t="s">
        <v>171</v>
      </c>
      <c r="E21" s="568">
        <v>0</v>
      </c>
    </row>
    <row r="22" spans="1:5" outlineLevel="1">
      <c r="A22" s="817"/>
      <c r="B22" s="818"/>
      <c r="C22" s="818"/>
      <c r="D22" s="64" t="s">
        <v>172</v>
      </c>
      <c r="E22" s="568">
        <v>0</v>
      </c>
    </row>
    <row r="23" spans="1:5" ht="15.75" outlineLevel="1" thickBot="1">
      <c r="A23" s="817"/>
      <c r="B23" s="818"/>
      <c r="C23" s="818"/>
      <c r="D23" s="65" t="s">
        <v>173</v>
      </c>
      <c r="E23" s="569">
        <v>0</v>
      </c>
    </row>
    <row r="24" spans="1:5" outlineLevel="1">
      <c r="A24" s="817" t="s">
        <v>1512</v>
      </c>
      <c r="B24" s="818"/>
      <c r="C24" s="818"/>
      <c r="D24" s="63" t="s">
        <v>164</v>
      </c>
      <c r="E24" s="568">
        <v>0</v>
      </c>
    </row>
    <row r="25" spans="1:5" outlineLevel="1">
      <c r="A25" s="817"/>
      <c r="B25" s="818"/>
      <c r="C25" s="818"/>
      <c r="D25" s="64" t="s">
        <v>165</v>
      </c>
      <c r="E25" s="568">
        <v>0</v>
      </c>
    </row>
    <row r="26" spans="1:5" outlineLevel="1">
      <c r="A26" s="817"/>
      <c r="B26" s="818"/>
      <c r="C26" s="818"/>
      <c r="D26" s="64" t="s">
        <v>166</v>
      </c>
      <c r="E26" s="568">
        <v>0</v>
      </c>
    </row>
    <row r="27" spans="1:5" outlineLevel="1">
      <c r="A27" s="817"/>
      <c r="B27" s="818"/>
      <c r="C27" s="818"/>
      <c r="D27" s="64" t="s">
        <v>167</v>
      </c>
      <c r="E27" s="568">
        <v>0</v>
      </c>
    </row>
    <row r="28" spans="1:5" outlineLevel="1">
      <c r="A28" s="817"/>
      <c r="B28" s="818"/>
      <c r="C28" s="818"/>
      <c r="D28" s="64" t="s">
        <v>168</v>
      </c>
      <c r="E28" s="568">
        <v>0</v>
      </c>
    </row>
    <row r="29" spans="1:5" outlineLevel="1">
      <c r="A29" s="817"/>
      <c r="B29" s="818"/>
      <c r="C29" s="818"/>
      <c r="D29" s="64" t="s">
        <v>169</v>
      </c>
      <c r="E29" s="568">
        <v>0</v>
      </c>
    </row>
    <row r="30" spans="1:5" outlineLevel="1">
      <c r="A30" s="817"/>
      <c r="B30" s="818"/>
      <c r="C30" s="818"/>
      <c r="D30" s="64" t="s">
        <v>170</v>
      </c>
      <c r="E30" s="568">
        <v>0</v>
      </c>
    </row>
    <row r="31" spans="1:5" outlineLevel="1">
      <c r="A31" s="817"/>
      <c r="B31" s="818"/>
      <c r="C31" s="818"/>
      <c r="D31" s="64" t="s">
        <v>171</v>
      </c>
      <c r="E31" s="568">
        <v>0</v>
      </c>
    </row>
    <row r="32" spans="1:5" outlineLevel="1">
      <c r="A32" s="817"/>
      <c r="B32" s="818"/>
      <c r="C32" s="818"/>
      <c r="D32" s="64" t="s">
        <v>172</v>
      </c>
      <c r="E32" s="568">
        <v>0</v>
      </c>
    </row>
    <row r="33" spans="1:5" ht="15.75" outlineLevel="1" thickBot="1">
      <c r="A33" s="817"/>
      <c r="B33" s="818"/>
      <c r="C33" s="818"/>
      <c r="D33" s="65" t="s">
        <v>173</v>
      </c>
      <c r="E33" s="569">
        <v>0</v>
      </c>
    </row>
    <row r="34" spans="1:5" outlineLevel="1">
      <c r="A34" s="817" t="s">
        <v>1513</v>
      </c>
      <c r="B34" s="818" t="s">
        <v>1504</v>
      </c>
      <c r="C34" s="818">
        <v>610</v>
      </c>
      <c r="D34" s="63" t="s">
        <v>164</v>
      </c>
      <c r="E34" s="568">
        <v>0</v>
      </c>
    </row>
    <row r="35" spans="1:5" outlineLevel="1">
      <c r="A35" s="817"/>
      <c r="B35" s="818"/>
      <c r="C35" s="818"/>
      <c r="D35" s="64" t="s">
        <v>165</v>
      </c>
      <c r="E35" s="568">
        <v>0</v>
      </c>
    </row>
    <row r="36" spans="1:5" outlineLevel="1">
      <c r="A36" s="817"/>
      <c r="B36" s="818"/>
      <c r="C36" s="818"/>
      <c r="D36" s="64" t="s">
        <v>166</v>
      </c>
      <c r="E36" s="568">
        <v>0</v>
      </c>
    </row>
    <row r="37" spans="1:5" outlineLevel="1">
      <c r="A37" s="817"/>
      <c r="B37" s="818"/>
      <c r="C37" s="818"/>
      <c r="D37" s="64" t="s">
        <v>167</v>
      </c>
      <c r="E37" s="568">
        <v>0</v>
      </c>
    </row>
    <row r="38" spans="1:5" outlineLevel="1">
      <c r="A38" s="817"/>
      <c r="B38" s="818"/>
      <c r="C38" s="818"/>
      <c r="D38" s="64" t="s">
        <v>168</v>
      </c>
      <c r="E38" s="568">
        <v>0</v>
      </c>
    </row>
    <row r="39" spans="1:5" outlineLevel="1">
      <c r="A39" s="817"/>
      <c r="B39" s="818"/>
      <c r="C39" s="818"/>
      <c r="D39" s="64" t="s">
        <v>169</v>
      </c>
      <c r="E39" s="568">
        <v>0</v>
      </c>
    </row>
    <row r="40" spans="1:5" outlineLevel="1">
      <c r="A40" s="817"/>
      <c r="B40" s="818"/>
      <c r="C40" s="818"/>
      <c r="D40" s="64" t="s">
        <v>170</v>
      </c>
      <c r="E40" s="568">
        <v>0</v>
      </c>
    </row>
    <row r="41" spans="1:5" outlineLevel="1">
      <c r="A41" s="817"/>
      <c r="B41" s="818"/>
      <c r="C41" s="818"/>
      <c r="D41" s="64" t="s">
        <v>171</v>
      </c>
      <c r="E41" s="568">
        <v>0</v>
      </c>
    </row>
    <row r="42" spans="1:5" outlineLevel="1">
      <c r="A42" s="817"/>
      <c r="B42" s="818"/>
      <c r="C42" s="818"/>
      <c r="D42" s="64" t="s">
        <v>172</v>
      </c>
      <c r="E42" s="568">
        <v>0</v>
      </c>
    </row>
    <row r="43" spans="1:5" ht="15.75" outlineLevel="1" thickBot="1">
      <c r="A43" s="817"/>
      <c r="B43" s="818"/>
      <c r="C43" s="818"/>
      <c r="D43" s="65" t="s">
        <v>173</v>
      </c>
      <c r="E43" s="569">
        <v>0</v>
      </c>
    </row>
    <row r="44" spans="1:5" outlineLevel="1">
      <c r="A44" s="817" t="s">
        <v>1514</v>
      </c>
      <c r="B44" s="818" t="s">
        <v>1506</v>
      </c>
      <c r="C44" s="818">
        <v>637040</v>
      </c>
      <c r="D44" s="63" t="s">
        <v>164</v>
      </c>
      <c r="E44" s="568">
        <v>0</v>
      </c>
    </row>
    <row r="45" spans="1:5" outlineLevel="1">
      <c r="A45" s="817"/>
      <c r="B45" s="818"/>
      <c r="C45" s="818"/>
      <c r="D45" s="64" t="s">
        <v>165</v>
      </c>
      <c r="E45" s="568">
        <v>0</v>
      </c>
    </row>
    <row r="46" spans="1:5" outlineLevel="1">
      <c r="A46" s="817"/>
      <c r="B46" s="818"/>
      <c r="C46" s="818"/>
      <c r="D46" s="64" t="s">
        <v>166</v>
      </c>
      <c r="E46" s="568">
        <v>0</v>
      </c>
    </row>
    <row r="47" spans="1:5" outlineLevel="1">
      <c r="A47" s="817"/>
      <c r="B47" s="818"/>
      <c r="C47" s="818"/>
      <c r="D47" s="64" t="s">
        <v>167</v>
      </c>
      <c r="E47" s="568">
        <v>0</v>
      </c>
    </row>
    <row r="48" spans="1:5" outlineLevel="1">
      <c r="A48" s="817"/>
      <c r="B48" s="818"/>
      <c r="C48" s="818"/>
      <c r="D48" s="64" t="s">
        <v>168</v>
      </c>
      <c r="E48" s="568">
        <v>0</v>
      </c>
    </row>
    <row r="49" spans="1:5" outlineLevel="1">
      <c r="A49" s="817"/>
      <c r="B49" s="818"/>
      <c r="C49" s="818"/>
      <c r="D49" s="64" t="s">
        <v>169</v>
      </c>
      <c r="E49" s="568">
        <v>0</v>
      </c>
    </row>
    <row r="50" spans="1:5" outlineLevel="1">
      <c r="A50" s="817"/>
      <c r="B50" s="818"/>
      <c r="C50" s="818"/>
      <c r="D50" s="64" t="s">
        <v>170</v>
      </c>
      <c r="E50" s="568">
        <v>0</v>
      </c>
    </row>
    <row r="51" spans="1:5" outlineLevel="1">
      <c r="A51" s="817"/>
      <c r="B51" s="818"/>
      <c r="C51" s="818"/>
      <c r="D51" s="64" t="s">
        <v>171</v>
      </c>
      <c r="E51" s="568">
        <v>0</v>
      </c>
    </row>
    <row r="52" spans="1:5" outlineLevel="1">
      <c r="A52" s="817"/>
      <c r="B52" s="818"/>
      <c r="C52" s="818"/>
      <c r="D52" s="64" t="s">
        <v>172</v>
      </c>
      <c r="E52" s="568">
        <v>0</v>
      </c>
    </row>
    <row r="53" spans="1:5" ht="15.75" outlineLevel="1" thickBot="1">
      <c r="A53" s="817"/>
      <c r="B53" s="818"/>
      <c r="C53" s="818"/>
      <c r="D53" s="65" t="s">
        <v>173</v>
      </c>
      <c r="E53" s="569">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2">
    <tabColor rgb="FFFFFF00"/>
    <outlinePr summaryBelow="0" summaryRight="0"/>
  </sheetPr>
  <dimension ref="A1:AA191"/>
  <sheetViews>
    <sheetView zoomScale="90" zoomScaleNormal="90" workbookViewId="0">
      <pane xSplit="3" ySplit="5" topLeftCell="D6" activePane="bottomRight" state="frozen"/>
      <selection pane="topRight" activeCell="G18" sqref="G18"/>
      <selection pane="bottomLeft" activeCell="G18" sqref="G18"/>
      <selection pane="bottomRight" activeCell="E105" sqref="E105"/>
    </sheetView>
  </sheetViews>
  <sheetFormatPr defaultColWidth="8.85546875" defaultRowHeight="15" outlineLevelRow="2" outlineLevelCol="1"/>
  <cols>
    <col min="1" max="1" width="22.42578125" customWidth="1"/>
    <col min="2" max="2" width="23.28515625" customWidth="1"/>
    <col min="3" max="3" width="22.42578125" customWidth="1"/>
    <col min="5" max="5" width="17.85546875" customWidth="1"/>
    <col min="6" max="26" width="18" customWidth="1" outlineLevel="1"/>
  </cols>
  <sheetData>
    <row r="1" spans="1:26" ht="26.25">
      <c r="A1" s="829"/>
      <c r="B1" s="829"/>
      <c r="C1" s="829"/>
      <c r="D1" s="829"/>
      <c r="F1" s="826" t="s">
        <v>226</v>
      </c>
      <c r="G1" s="826"/>
      <c r="H1" s="826"/>
      <c r="I1" s="826"/>
      <c r="J1" s="826"/>
      <c r="K1" s="826"/>
      <c r="L1" s="826"/>
      <c r="M1" s="826"/>
      <c r="N1" s="826"/>
      <c r="O1" s="826"/>
      <c r="P1" s="826"/>
      <c r="Q1" s="826"/>
      <c r="R1" s="826"/>
      <c r="S1" s="826"/>
      <c r="T1" s="826"/>
      <c r="U1" s="826"/>
      <c r="V1" s="826"/>
      <c r="W1" s="826"/>
      <c r="X1" s="826"/>
      <c r="Y1" s="826"/>
      <c r="Z1" s="826"/>
    </row>
    <row r="2" spans="1:26" ht="35.25" customHeight="1" thickBot="1">
      <c r="A2" s="819" t="s">
        <v>1490</v>
      </c>
      <c r="B2" s="819"/>
      <c r="C2" s="819"/>
      <c r="D2" s="820"/>
      <c r="E2" s="66" t="s">
        <v>150</v>
      </c>
      <c r="F2" s="570" t="str">
        <f>MODULY_CBA!$B3</f>
        <v>Adaptér core banking služieb</v>
      </c>
      <c r="G2" s="570" t="str">
        <f>MODULY_CBA!$B4</f>
        <v>Autentifikačný modul</v>
      </c>
      <c r="H2" s="570" t="str">
        <f>MODULY_CBA!$B5</f>
        <v>Mobilná aplikácia - autentifikácia</v>
      </c>
      <c r="I2" s="570" t="str">
        <f>MODULY_CBA!$B6</f>
        <v>KYC</v>
      </c>
      <c r="J2" s="570" t="str">
        <f>MODULY_CBA!$B7</f>
        <v>Webový portál ŠP</v>
      </c>
      <c r="K2" s="570" t="str">
        <f>MODULY_CBA!$B8</f>
        <v>OpenAPI</v>
      </c>
      <c r="L2" s="570" t="str">
        <f>MODULY_CBA!$B9</f>
        <v>Modul platobných funkcionalít</v>
      </c>
      <c r="M2" s="570" t="str">
        <f>MODULY_CBA!$B10</f>
        <v>Modul všeobecných funkcionalít</v>
      </c>
      <c r="N2" s="570" t="str">
        <f>MODULY_CBA!$B11</f>
        <v>Mobilná aplikácia - autorizácia a notifikácie</v>
      </c>
      <c r="O2" s="570" t="str">
        <f>MODULY_CBA!$B12</f>
        <v>Modul rozpočtových funkcionalít</v>
      </c>
      <c r="P2" s="570" t="str">
        <f>MODULY_CBA!$B13</f>
        <v>Migrácia do RPC</v>
      </c>
      <c r="Q2" s="570">
        <f>MODULY_CBA!$B14</f>
        <v>0</v>
      </c>
      <c r="R2" s="570">
        <f>MODULY_CBA!$B15</f>
        <v>0</v>
      </c>
      <c r="S2" s="570">
        <f>MODULY_CBA!$B16</f>
        <v>0</v>
      </c>
      <c r="T2" s="570">
        <f>MODULY_CBA!$B17</f>
        <v>0</v>
      </c>
      <c r="U2" s="570">
        <f>MODULY_CBA!$B18</f>
        <v>0</v>
      </c>
      <c r="V2" s="570">
        <f>MODULY_CBA!$B19</f>
        <v>0</v>
      </c>
      <c r="W2" s="570">
        <f>MODULY_CBA!$B20</f>
        <v>0</v>
      </c>
      <c r="X2" s="570">
        <f>MODULY_CBA!$B21</f>
        <v>0</v>
      </c>
      <c r="Y2" s="570">
        <f>MODULY_CBA!$B22</f>
        <v>0</v>
      </c>
      <c r="Z2" s="570">
        <f>MODULY_CBA!$B23</f>
        <v>0</v>
      </c>
    </row>
    <row r="3" spans="1:26" ht="15.75" thickBot="1">
      <c r="A3" s="36" t="s">
        <v>1491</v>
      </c>
      <c r="B3" s="70" t="s">
        <v>1492</v>
      </c>
      <c r="C3" s="70" t="s">
        <v>1493</v>
      </c>
      <c r="D3" s="70" t="s">
        <v>160</v>
      </c>
      <c r="E3" s="17"/>
      <c r="F3" s="17"/>
      <c r="G3" s="17"/>
      <c r="H3" s="17"/>
      <c r="I3" s="17"/>
      <c r="J3" s="17"/>
      <c r="K3" s="17"/>
      <c r="L3" s="17"/>
      <c r="M3" s="17"/>
      <c r="N3" s="17"/>
      <c r="O3" s="17"/>
      <c r="P3" s="17"/>
      <c r="Q3" s="17"/>
      <c r="R3" s="17"/>
      <c r="S3" s="17"/>
      <c r="T3" s="17"/>
      <c r="U3" s="17"/>
      <c r="V3" s="17"/>
      <c r="W3" s="17"/>
      <c r="X3" s="17"/>
      <c r="Y3" s="17"/>
      <c r="Z3" s="17"/>
    </row>
    <row r="4" spans="1:26" ht="15.75" thickBot="1">
      <c r="A4" s="827" t="s">
        <v>1515</v>
      </c>
      <c r="B4" s="828"/>
      <c r="C4" s="828"/>
      <c r="D4" s="74"/>
      <c r="E4" s="72">
        <f t="shared" ref="E4:F4" si="0">E5+E36</f>
        <v>22058714.549999997</v>
      </c>
      <c r="F4" s="73">
        <f t="shared" si="0"/>
        <v>3821922.0363172945</v>
      </c>
      <c r="G4" s="73">
        <f t="shared" ref="G4:Z4" si="1">G5+G36</f>
        <v>270127.51181839185</v>
      </c>
      <c r="H4" s="73">
        <f t="shared" si="1"/>
        <v>263756.57993588265</v>
      </c>
      <c r="I4" s="73">
        <f t="shared" si="1"/>
        <v>157999.11068622919</v>
      </c>
      <c r="J4" s="73">
        <f t="shared" si="1"/>
        <v>263756.57993588265</v>
      </c>
      <c r="K4" s="73">
        <f t="shared" si="1"/>
        <v>52878.734624826699</v>
      </c>
      <c r="L4" s="73">
        <f t="shared" si="1"/>
        <v>6109723.6753263632</v>
      </c>
      <c r="M4" s="73">
        <f t="shared" si="1"/>
        <v>1225767.294194778</v>
      </c>
      <c r="N4" s="73">
        <f t="shared" si="1"/>
        <v>606512.71521487983</v>
      </c>
      <c r="O4" s="73">
        <f t="shared" si="1"/>
        <v>4976334.893427968</v>
      </c>
      <c r="P4" s="73">
        <f t="shared" si="1"/>
        <v>4309935.418517502</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75" outlineLevel="1" thickBot="1">
      <c r="A5" s="17" t="s">
        <v>1495</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817" t="s">
        <v>1516</v>
      </c>
      <c r="B6" s="818" t="s">
        <v>1499</v>
      </c>
      <c r="C6" s="818">
        <v>711003</v>
      </c>
      <c r="D6" s="63">
        <v>1</v>
      </c>
      <c r="E6" s="60">
        <f>SUM(F6:Z6)</f>
        <v>0</v>
      </c>
      <c r="F6" s="573">
        <f>IFERROR(SUMIFS('Rozpočet - HW a licencie'!$I$3:$I$102,'Rozpočet - HW a licencie'!$A$3:$A$102,'TCO TO BE- SW'!F$2,'Rozpočet - HW a licencie'!$C$3:$C$102,"SW",'Rozpočet - HW a licencie'!$G$3:$G$102,'TCO TO BE- SW'!$D6,'Rozpočet - HW a licencie'!$D$3:$D$102,$B$6),)</f>
        <v>0</v>
      </c>
      <c r="G6" s="573">
        <f>IFERROR(SUMIFS('Rozpočet - HW a licencie'!$I$3:$I$102,'Rozpočet - HW a licencie'!$A$3:$A$102,'TCO TO BE- SW'!G$2,'Rozpočet - HW a licencie'!$C$3:$C$102,"SW",'Rozpočet - HW a licencie'!$G$3:$G$102,'TCO TO BE- SW'!$D6,'Rozpočet - HW a licencie'!$D$3:$D$102,$B$6),)</f>
        <v>0</v>
      </c>
      <c r="H6" s="573">
        <f>IFERROR(SUMIFS('Rozpočet - HW a licencie'!$I$3:$I$102,'Rozpočet - HW a licencie'!$A$3:$A$102,'TCO TO BE- SW'!H$2,'Rozpočet - HW a licencie'!$C$3:$C$102,"SW",'Rozpočet - HW a licencie'!$G$3:$G$102,'TCO TO BE- SW'!$D6,'Rozpočet - HW a licencie'!$D$3:$D$102,$B$6),)</f>
        <v>0</v>
      </c>
      <c r="I6" s="573">
        <f>IFERROR(SUMIFS('Rozpočet - HW a licencie'!$I$3:$I$102,'Rozpočet - HW a licencie'!$A$3:$A$102,'TCO TO BE- SW'!I$2,'Rozpočet - HW a licencie'!$C$3:$C$102,"SW",'Rozpočet - HW a licencie'!$G$3:$G$102,'TCO TO BE- SW'!$D6,'Rozpočet - HW a licencie'!$D$3:$D$102,$B$6),)</f>
        <v>0</v>
      </c>
      <c r="J6" s="573">
        <f>IFERROR(SUMIFS('Rozpočet - HW a licencie'!$I$3:$I$102,'Rozpočet - HW a licencie'!$A$3:$A$102,'TCO TO BE- SW'!J$2,'Rozpočet - HW a licencie'!$C$3:$C$102,"SW",'Rozpočet - HW a licencie'!$G$3:$G$102,'TCO TO BE- SW'!$D6,'Rozpočet - HW a licencie'!$D$3:$D$102,$B$6),)</f>
        <v>0</v>
      </c>
      <c r="K6" s="573">
        <f>IFERROR(SUMIFS('Rozpočet - HW a licencie'!$I$3:$I$102,'Rozpočet - HW a licencie'!$A$3:$A$102,'TCO TO BE- SW'!K$2,'Rozpočet - HW a licencie'!$C$3:$C$102,"SW",'Rozpočet - HW a licencie'!$G$3:$G$102,'TCO TO BE- SW'!$D6,'Rozpočet - HW a licencie'!$D$3:$D$102,$B$6),)</f>
        <v>0</v>
      </c>
      <c r="L6" s="573">
        <f>IFERROR(SUMIFS('Rozpočet - HW a licencie'!$I$3:$I$102,'Rozpočet - HW a licencie'!$A$3:$A$102,'TCO TO BE- SW'!L$2,'Rozpočet - HW a licencie'!$C$3:$C$102,"SW",'Rozpočet - HW a licencie'!$G$3:$G$102,'TCO TO BE- SW'!$D6,'Rozpočet - HW a licencie'!$D$3:$D$102,$B$6),)</f>
        <v>0</v>
      </c>
      <c r="M6" s="573">
        <f>IFERROR(SUMIFS('Rozpočet - HW a licencie'!$I$3:$I$102,'Rozpočet - HW a licencie'!$A$3:$A$102,'TCO TO BE- SW'!M$2,'Rozpočet - HW a licencie'!$C$3:$C$102,"SW",'Rozpočet - HW a licencie'!$G$3:$G$102,'TCO TO BE- SW'!$D6,'Rozpočet - HW a licencie'!$D$3:$D$102,$B$6),)</f>
        <v>0</v>
      </c>
      <c r="N6" s="573">
        <f>IFERROR(SUMIFS('Rozpočet - HW a licencie'!$I$3:$I$102,'Rozpočet - HW a licencie'!$A$3:$A$102,'TCO TO BE- SW'!N$2,'Rozpočet - HW a licencie'!$C$3:$C$102,"SW",'Rozpočet - HW a licencie'!$G$3:$G$102,'TCO TO BE- SW'!$D6,'Rozpočet - HW a licencie'!$D$3:$D$102,$B$6),)</f>
        <v>0</v>
      </c>
      <c r="O6" s="573">
        <f>IFERROR(SUMIFS('Rozpočet - HW a licencie'!$I$3:$I$102,'Rozpočet - HW a licencie'!$A$3:$A$102,'TCO TO BE- SW'!O$2,'Rozpočet - HW a licencie'!$C$3:$C$102,"SW",'Rozpočet - HW a licencie'!$G$3:$G$102,'TCO TO BE- SW'!$D6,'Rozpočet - HW a licencie'!$D$3:$D$102,$B$6),)</f>
        <v>0</v>
      </c>
      <c r="P6" s="573">
        <f>IFERROR(SUMIFS('Rozpočet - HW a licencie'!$I$3:$I$102,'Rozpočet - HW a licencie'!$A$3:$A$102,'TCO TO BE- SW'!P$2,'Rozpočet - HW a licencie'!$C$3:$C$102,"SW",'Rozpočet - HW a licencie'!$G$3:$G$102,'TCO TO BE- SW'!$D6,'Rozpočet - HW a licencie'!$D$3:$D$102,$B$6),)</f>
        <v>0</v>
      </c>
      <c r="Q6" s="573">
        <f>IFERROR(SUMIFS('Rozpočet - HW a licencie'!$I$3:$I$102,'Rozpočet - HW a licencie'!$A$3:$A$102,'TCO TO BE- SW'!Q$2,'Rozpočet - HW a licencie'!$C$3:$C$102,"SW",'Rozpočet - HW a licencie'!$G$3:$G$102,'TCO TO BE- SW'!$D6,'Rozpočet - HW a licencie'!$D$3:$D$102,$B$6),)</f>
        <v>0</v>
      </c>
      <c r="R6" s="573">
        <f>IFERROR(SUMIFS('Rozpočet - HW a licencie'!$I$3:$I$102,'Rozpočet - HW a licencie'!$A$3:$A$102,'TCO TO BE- SW'!R$2,'Rozpočet - HW a licencie'!$C$3:$C$102,"SW",'Rozpočet - HW a licencie'!$G$3:$G$102,'TCO TO BE- SW'!$D6,'Rozpočet - HW a licencie'!$D$3:$D$102,$B$6),)</f>
        <v>0</v>
      </c>
      <c r="S6" s="573">
        <f>IFERROR(SUMIFS('Rozpočet - HW a licencie'!$I$3:$I$102,'Rozpočet - HW a licencie'!$A$3:$A$102,'TCO TO BE- SW'!S$2,'Rozpočet - HW a licencie'!$C$3:$C$102,"SW",'Rozpočet - HW a licencie'!$G$3:$G$102,'TCO TO BE- SW'!$D6,'Rozpočet - HW a licencie'!$D$3:$D$102,$B$6),)</f>
        <v>0</v>
      </c>
      <c r="T6" s="573">
        <f>IFERROR(SUMIFS('Rozpočet - HW a licencie'!$I$3:$I$102,'Rozpočet - HW a licencie'!$A$3:$A$102,'TCO TO BE- SW'!T$2,'Rozpočet - HW a licencie'!$C$3:$C$102,"SW",'Rozpočet - HW a licencie'!$G$3:$G$102,'TCO TO BE- SW'!$D6,'Rozpočet - HW a licencie'!$D$3:$D$102,$B$6),)</f>
        <v>0</v>
      </c>
      <c r="U6" s="573">
        <f>IFERROR(SUMIFS('Rozpočet - HW a licencie'!$I$3:$I$102,'Rozpočet - HW a licencie'!$A$3:$A$102,'TCO TO BE- SW'!U$2,'Rozpočet - HW a licencie'!$C$3:$C$102,"SW",'Rozpočet - HW a licencie'!$G$3:$G$102,'TCO TO BE- SW'!$D6,'Rozpočet - HW a licencie'!$D$3:$D$102,$B$6),)</f>
        <v>0</v>
      </c>
      <c r="V6" s="573">
        <f>IFERROR(SUMIFS('Rozpočet - HW a licencie'!$I$3:$I$102,'Rozpočet - HW a licencie'!$A$3:$A$102,'TCO TO BE- SW'!V$2,'Rozpočet - HW a licencie'!$C$3:$C$102,"SW",'Rozpočet - HW a licencie'!$G$3:$G$102,'TCO TO BE- SW'!$D6,'Rozpočet - HW a licencie'!$D$3:$D$102,$B$6),)</f>
        <v>0</v>
      </c>
      <c r="W6" s="573">
        <f>IFERROR(SUMIFS('Rozpočet - HW a licencie'!$I$3:$I$102,'Rozpočet - HW a licencie'!$A$3:$A$102,'TCO TO BE- SW'!W$2,'Rozpočet - HW a licencie'!$C$3:$C$102,"SW",'Rozpočet - HW a licencie'!$G$3:$G$102,'TCO TO BE- SW'!$D6,'Rozpočet - HW a licencie'!$D$3:$D$102,$B$6),)</f>
        <v>0</v>
      </c>
      <c r="X6" s="573">
        <f>IFERROR(SUMIFS('Rozpočet - HW a licencie'!$I$3:$I$102,'Rozpočet - HW a licencie'!$A$3:$A$102,'TCO TO BE- SW'!X$2,'Rozpočet - HW a licencie'!$C$3:$C$102,"SW",'Rozpočet - HW a licencie'!$G$3:$G$102,'TCO TO BE- SW'!$D6,'Rozpočet - HW a licencie'!$D$3:$D$102,$B$6),)</f>
        <v>0</v>
      </c>
      <c r="Y6" s="573">
        <f>IFERROR(SUMIFS('Rozpočet - HW a licencie'!$I$3:$I$102,'Rozpočet - HW a licencie'!$A$3:$A$102,'TCO TO BE- SW'!Y$2,'Rozpočet - HW a licencie'!$C$3:$C$102,"SW",'Rozpočet - HW a licencie'!$G$3:$G$102,'TCO TO BE- SW'!$D6,'Rozpočet - HW a licencie'!$D$3:$D$102,$B$6),)</f>
        <v>0</v>
      </c>
      <c r="Z6" s="573">
        <f>IFERROR(SUMIFS('Rozpočet - HW a licencie'!$I$3:$I$102,'Rozpočet - HW a licencie'!$A$3:$A$102,'TCO TO BE- SW'!Z$2,'Rozpočet - HW a licencie'!$C$3:$C$102,"SW",'Rozpočet - HW a licencie'!$G$3:$G$102,'TCO TO BE- SW'!$D6,'Rozpočet - HW a licencie'!$D$3:$D$102,$B$6),)</f>
        <v>0</v>
      </c>
    </row>
    <row r="7" spans="1:26" outlineLevel="2">
      <c r="A7" s="817"/>
      <c r="B7" s="818"/>
      <c r="C7" s="818"/>
      <c r="D7" s="64">
        <v>2</v>
      </c>
      <c r="E7" s="61">
        <f t="shared" ref="E7:E35" si="4">SUM(F7:Z7)</f>
        <v>0</v>
      </c>
      <c r="F7" s="574">
        <f>IFERROR(SUMIFS('Rozpočet - HW a licencie'!$I$3:$I$102,'Rozpočet - HW a licencie'!$A$3:$A$102,'TCO TO BE- SW'!F$2,'Rozpočet - HW a licencie'!$C$3:$C$102,"SW",'Rozpočet - HW a licencie'!$G$3:$G$102,'TCO TO BE- SW'!$D7,'Rozpočet - HW a licencie'!$D$3:$D$102,$B$6),)</f>
        <v>0</v>
      </c>
      <c r="G7" s="574">
        <f>IFERROR(SUMIFS('Rozpočet - HW a licencie'!$I$3:$I$102,'Rozpočet - HW a licencie'!$A$3:$A$102,'TCO TO BE- SW'!G$2,'Rozpočet - HW a licencie'!$C$3:$C$102,"SW",'Rozpočet - HW a licencie'!$G$3:$G$102,'TCO TO BE- SW'!$D7,'Rozpočet - HW a licencie'!$D$3:$D$102,$B$6),)</f>
        <v>0</v>
      </c>
      <c r="H7" s="574">
        <f>IFERROR(SUMIFS('Rozpočet - HW a licencie'!$I$3:$I$102,'Rozpočet - HW a licencie'!$A$3:$A$102,'TCO TO BE- SW'!H$2,'Rozpočet - HW a licencie'!$C$3:$C$102,"SW",'Rozpočet - HW a licencie'!$G$3:$G$102,'TCO TO BE- SW'!$D7,'Rozpočet - HW a licencie'!$D$3:$D$102,$B$6),)</f>
        <v>0</v>
      </c>
      <c r="I7" s="574">
        <f>IFERROR(SUMIFS('Rozpočet - HW a licencie'!$I$3:$I$102,'Rozpočet - HW a licencie'!$A$3:$A$102,'TCO TO BE- SW'!I$2,'Rozpočet - HW a licencie'!$C$3:$C$102,"SW",'Rozpočet - HW a licencie'!$G$3:$G$102,'TCO TO BE- SW'!$D7,'Rozpočet - HW a licencie'!$D$3:$D$102,$B$6),)</f>
        <v>0</v>
      </c>
      <c r="J7" s="574">
        <f>IFERROR(SUMIFS('Rozpočet - HW a licencie'!$I$3:$I$102,'Rozpočet - HW a licencie'!$A$3:$A$102,'TCO TO BE- SW'!J$2,'Rozpočet - HW a licencie'!$C$3:$C$102,"SW",'Rozpočet - HW a licencie'!$G$3:$G$102,'TCO TO BE- SW'!$D7,'Rozpočet - HW a licencie'!$D$3:$D$102,$B$6),)</f>
        <v>0</v>
      </c>
      <c r="K7" s="574">
        <f>IFERROR(SUMIFS('Rozpočet - HW a licencie'!$I$3:$I$102,'Rozpočet - HW a licencie'!$A$3:$A$102,'TCO TO BE- SW'!K$2,'Rozpočet - HW a licencie'!$C$3:$C$102,"SW",'Rozpočet - HW a licencie'!$G$3:$G$102,'TCO TO BE- SW'!$D7,'Rozpočet - HW a licencie'!$D$3:$D$102,$B$6),)</f>
        <v>0</v>
      </c>
      <c r="L7" s="574">
        <f>IFERROR(SUMIFS('Rozpočet - HW a licencie'!$I$3:$I$102,'Rozpočet - HW a licencie'!$A$3:$A$102,'TCO TO BE- SW'!L$2,'Rozpočet - HW a licencie'!$C$3:$C$102,"SW",'Rozpočet - HW a licencie'!$G$3:$G$102,'TCO TO BE- SW'!$D7,'Rozpočet - HW a licencie'!$D$3:$D$102,$B$6),)</f>
        <v>0</v>
      </c>
      <c r="M7" s="574">
        <f>IFERROR(SUMIFS('Rozpočet - HW a licencie'!$I$3:$I$102,'Rozpočet - HW a licencie'!$A$3:$A$102,'TCO TO BE- SW'!M$2,'Rozpočet - HW a licencie'!$C$3:$C$102,"SW",'Rozpočet - HW a licencie'!$G$3:$G$102,'TCO TO BE- SW'!$D7,'Rozpočet - HW a licencie'!$D$3:$D$102,$B$6),)</f>
        <v>0</v>
      </c>
      <c r="N7" s="574">
        <f>IFERROR(SUMIFS('Rozpočet - HW a licencie'!$I$3:$I$102,'Rozpočet - HW a licencie'!$A$3:$A$102,'TCO TO BE- SW'!N$2,'Rozpočet - HW a licencie'!$C$3:$C$102,"SW",'Rozpočet - HW a licencie'!$G$3:$G$102,'TCO TO BE- SW'!$D7,'Rozpočet - HW a licencie'!$D$3:$D$102,$B$6),)</f>
        <v>0</v>
      </c>
      <c r="O7" s="574">
        <f>IFERROR(SUMIFS('Rozpočet - HW a licencie'!$I$3:$I$102,'Rozpočet - HW a licencie'!$A$3:$A$102,'TCO TO BE- SW'!O$2,'Rozpočet - HW a licencie'!$C$3:$C$102,"SW",'Rozpočet - HW a licencie'!$G$3:$G$102,'TCO TO BE- SW'!$D7,'Rozpočet - HW a licencie'!$D$3:$D$102,$B$6),)</f>
        <v>0</v>
      </c>
      <c r="P7" s="574">
        <f>IFERROR(SUMIFS('Rozpočet - HW a licencie'!$I$3:$I$102,'Rozpočet - HW a licencie'!$A$3:$A$102,'TCO TO BE- SW'!P$2,'Rozpočet - HW a licencie'!$C$3:$C$102,"SW",'Rozpočet - HW a licencie'!$G$3:$G$102,'TCO TO BE- SW'!$D7,'Rozpočet - HW a licencie'!$D$3:$D$102,$B$6),)</f>
        <v>0</v>
      </c>
      <c r="Q7" s="574">
        <f>IFERROR(SUMIFS('Rozpočet - HW a licencie'!$I$3:$I$102,'Rozpočet - HW a licencie'!$A$3:$A$102,'TCO TO BE- SW'!Q$2,'Rozpočet - HW a licencie'!$C$3:$C$102,"SW",'Rozpočet - HW a licencie'!$G$3:$G$102,'TCO TO BE- SW'!$D7,'Rozpočet - HW a licencie'!$D$3:$D$102,$B$6),)</f>
        <v>0</v>
      </c>
      <c r="R7" s="574">
        <f>IFERROR(SUMIFS('Rozpočet - HW a licencie'!$I$3:$I$102,'Rozpočet - HW a licencie'!$A$3:$A$102,'TCO TO BE- SW'!R$2,'Rozpočet - HW a licencie'!$C$3:$C$102,"SW",'Rozpočet - HW a licencie'!$G$3:$G$102,'TCO TO BE- SW'!$D7,'Rozpočet - HW a licencie'!$D$3:$D$102,$B$6),)</f>
        <v>0</v>
      </c>
      <c r="S7" s="574">
        <f>IFERROR(SUMIFS('Rozpočet - HW a licencie'!$I$3:$I$102,'Rozpočet - HW a licencie'!$A$3:$A$102,'TCO TO BE- SW'!S$2,'Rozpočet - HW a licencie'!$C$3:$C$102,"SW",'Rozpočet - HW a licencie'!$G$3:$G$102,'TCO TO BE- SW'!$D7,'Rozpočet - HW a licencie'!$D$3:$D$102,$B$6),)</f>
        <v>0</v>
      </c>
      <c r="T7" s="574">
        <f>IFERROR(SUMIFS('Rozpočet - HW a licencie'!$I$3:$I$102,'Rozpočet - HW a licencie'!$A$3:$A$102,'TCO TO BE- SW'!T$2,'Rozpočet - HW a licencie'!$C$3:$C$102,"SW",'Rozpočet - HW a licencie'!$G$3:$G$102,'TCO TO BE- SW'!$D7,'Rozpočet - HW a licencie'!$D$3:$D$102,$B$6),)</f>
        <v>0</v>
      </c>
      <c r="U7" s="574">
        <f>IFERROR(SUMIFS('Rozpočet - HW a licencie'!$I$3:$I$102,'Rozpočet - HW a licencie'!$A$3:$A$102,'TCO TO BE- SW'!U$2,'Rozpočet - HW a licencie'!$C$3:$C$102,"SW",'Rozpočet - HW a licencie'!$G$3:$G$102,'TCO TO BE- SW'!$D7,'Rozpočet - HW a licencie'!$D$3:$D$102,$B$6),)</f>
        <v>0</v>
      </c>
      <c r="V7" s="574">
        <f>IFERROR(SUMIFS('Rozpočet - HW a licencie'!$I$3:$I$102,'Rozpočet - HW a licencie'!$A$3:$A$102,'TCO TO BE- SW'!V$2,'Rozpočet - HW a licencie'!$C$3:$C$102,"SW",'Rozpočet - HW a licencie'!$G$3:$G$102,'TCO TO BE- SW'!$D7,'Rozpočet - HW a licencie'!$D$3:$D$102,$B$6),)</f>
        <v>0</v>
      </c>
      <c r="W7" s="574">
        <f>IFERROR(SUMIFS('Rozpočet - HW a licencie'!$I$3:$I$102,'Rozpočet - HW a licencie'!$A$3:$A$102,'TCO TO BE- SW'!W$2,'Rozpočet - HW a licencie'!$C$3:$C$102,"SW",'Rozpočet - HW a licencie'!$G$3:$G$102,'TCO TO BE- SW'!$D7,'Rozpočet - HW a licencie'!$D$3:$D$102,$B$6),)</f>
        <v>0</v>
      </c>
      <c r="X7" s="574">
        <f>IFERROR(SUMIFS('Rozpočet - HW a licencie'!$I$3:$I$102,'Rozpočet - HW a licencie'!$A$3:$A$102,'TCO TO BE- SW'!X$2,'Rozpočet - HW a licencie'!$C$3:$C$102,"SW",'Rozpočet - HW a licencie'!$G$3:$G$102,'TCO TO BE- SW'!$D7,'Rozpočet - HW a licencie'!$D$3:$D$102,$B$6),)</f>
        <v>0</v>
      </c>
      <c r="Y7" s="574">
        <f>IFERROR(SUMIFS('Rozpočet - HW a licencie'!$I$3:$I$102,'Rozpočet - HW a licencie'!$A$3:$A$102,'TCO TO BE- SW'!Y$2,'Rozpočet - HW a licencie'!$C$3:$C$102,"SW",'Rozpočet - HW a licencie'!$G$3:$G$102,'TCO TO BE- SW'!$D7,'Rozpočet - HW a licencie'!$D$3:$D$102,$B$6),)</f>
        <v>0</v>
      </c>
      <c r="Z7" s="574">
        <f>IFERROR(SUMIFS('Rozpočet - HW a licencie'!$I$3:$I$102,'Rozpočet - HW a licencie'!$A$3:$A$102,'TCO TO BE- SW'!Z$2,'Rozpočet - HW a licencie'!$C$3:$C$102,"SW",'Rozpočet - HW a licencie'!$G$3:$G$102,'TCO TO BE- SW'!$D7,'Rozpočet - HW a licencie'!$D$3:$D$102,$B$6),)</f>
        <v>0</v>
      </c>
    </row>
    <row r="8" spans="1:26" outlineLevel="2">
      <c r="A8" s="817"/>
      <c r="B8" s="818"/>
      <c r="C8" s="818"/>
      <c r="D8" s="64">
        <v>3</v>
      </c>
      <c r="E8" s="61">
        <f t="shared" si="4"/>
        <v>0</v>
      </c>
      <c r="F8" s="574">
        <f>IFERROR(SUMIFS('Rozpočet - HW a licencie'!$I$3:$I$102,'Rozpočet - HW a licencie'!$A$3:$A$102,'TCO TO BE- SW'!F$2,'Rozpočet - HW a licencie'!$C$3:$C$102,"SW",'Rozpočet - HW a licencie'!$G$3:$G$102,'TCO TO BE- SW'!$D8,'Rozpočet - HW a licencie'!$D$3:$D$102,$B$6),)</f>
        <v>0</v>
      </c>
      <c r="G8" s="574">
        <f>IFERROR(SUMIFS('Rozpočet - HW a licencie'!$I$3:$I$102,'Rozpočet - HW a licencie'!$A$3:$A$102,'TCO TO BE- SW'!G$2,'Rozpočet - HW a licencie'!$C$3:$C$102,"SW",'Rozpočet - HW a licencie'!$G$3:$G$102,'TCO TO BE- SW'!$D8,'Rozpočet - HW a licencie'!$D$3:$D$102,$B$6),)</f>
        <v>0</v>
      </c>
      <c r="H8" s="574">
        <f>IFERROR(SUMIFS('Rozpočet - HW a licencie'!$I$3:$I$102,'Rozpočet - HW a licencie'!$A$3:$A$102,'TCO TO BE- SW'!H$2,'Rozpočet - HW a licencie'!$C$3:$C$102,"SW",'Rozpočet - HW a licencie'!$G$3:$G$102,'TCO TO BE- SW'!$D8,'Rozpočet - HW a licencie'!$D$3:$D$102,$B$6),)</f>
        <v>0</v>
      </c>
      <c r="I8" s="574">
        <f>IFERROR(SUMIFS('Rozpočet - HW a licencie'!$I$3:$I$102,'Rozpočet - HW a licencie'!$A$3:$A$102,'TCO TO BE- SW'!I$2,'Rozpočet - HW a licencie'!$C$3:$C$102,"SW",'Rozpočet - HW a licencie'!$G$3:$G$102,'TCO TO BE- SW'!$D8,'Rozpočet - HW a licencie'!$D$3:$D$102,$B$6),)</f>
        <v>0</v>
      </c>
      <c r="J8" s="574">
        <f>IFERROR(SUMIFS('Rozpočet - HW a licencie'!$I$3:$I$102,'Rozpočet - HW a licencie'!$A$3:$A$102,'TCO TO BE- SW'!J$2,'Rozpočet - HW a licencie'!$C$3:$C$102,"SW",'Rozpočet - HW a licencie'!$G$3:$G$102,'TCO TO BE- SW'!$D8,'Rozpočet - HW a licencie'!$D$3:$D$102,$B$6),)</f>
        <v>0</v>
      </c>
      <c r="K8" s="574">
        <f>IFERROR(SUMIFS('Rozpočet - HW a licencie'!$I$3:$I$102,'Rozpočet - HW a licencie'!$A$3:$A$102,'TCO TO BE- SW'!K$2,'Rozpočet - HW a licencie'!$C$3:$C$102,"SW",'Rozpočet - HW a licencie'!$G$3:$G$102,'TCO TO BE- SW'!$D8,'Rozpočet - HW a licencie'!$D$3:$D$102,$B$6),)</f>
        <v>0</v>
      </c>
      <c r="L8" s="574">
        <f>IFERROR(SUMIFS('Rozpočet - HW a licencie'!$I$3:$I$102,'Rozpočet - HW a licencie'!$A$3:$A$102,'TCO TO BE- SW'!L$2,'Rozpočet - HW a licencie'!$C$3:$C$102,"SW",'Rozpočet - HW a licencie'!$G$3:$G$102,'TCO TO BE- SW'!$D8,'Rozpočet - HW a licencie'!$D$3:$D$102,$B$6),)</f>
        <v>0</v>
      </c>
      <c r="M8" s="574">
        <f>IFERROR(SUMIFS('Rozpočet - HW a licencie'!$I$3:$I$102,'Rozpočet - HW a licencie'!$A$3:$A$102,'TCO TO BE- SW'!M$2,'Rozpočet - HW a licencie'!$C$3:$C$102,"SW",'Rozpočet - HW a licencie'!$G$3:$G$102,'TCO TO BE- SW'!$D8,'Rozpočet - HW a licencie'!$D$3:$D$102,$B$6),)</f>
        <v>0</v>
      </c>
      <c r="N8" s="574">
        <f>IFERROR(SUMIFS('Rozpočet - HW a licencie'!$I$3:$I$102,'Rozpočet - HW a licencie'!$A$3:$A$102,'TCO TO BE- SW'!N$2,'Rozpočet - HW a licencie'!$C$3:$C$102,"SW",'Rozpočet - HW a licencie'!$G$3:$G$102,'TCO TO BE- SW'!$D8,'Rozpočet - HW a licencie'!$D$3:$D$102,$B$6),)</f>
        <v>0</v>
      </c>
      <c r="O8" s="574">
        <f>IFERROR(SUMIFS('Rozpočet - HW a licencie'!$I$3:$I$102,'Rozpočet - HW a licencie'!$A$3:$A$102,'TCO TO BE- SW'!O$2,'Rozpočet - HW a licencie'!$C$3:$C$102,"SW",'Rozpočet - HW a licencie'!$G$3:$G$102,'TCO TO BE- SW'!$D8,'Rozpočet - HW a licencie'!$D$3:$D$102,$B$6),)</f>
        <v>0</v>
      </c>
      <c r="P8" s="574">
        <f>IFERROR(SUMIFS('Rozpočet - HW a licencie'!$I$3:$I$102,'Rozpočet - HW a licencie'!$A$3:$A$102,'TCO TO BE- SW'!P$2,'Rozpočet - HW a licencie'!$C$3:$C$102,"SW",'Rozpočet - HW a licencie'!$G$3:$G$102,'TCO TO BE- SW'!$D8,'Rozpočet - HW a licencie'!$D$3:$D$102,$B$6),)</f>
        <v>0</v>
      </c>
      <c r="Q8" s="574">
        <f>IFERROR(SUMIFS('Rozpočet - HW a licencie'!$I$3:$I$102,'Rozpočet - HW a licencie'!$A$3:$A$102,'TCO TO BE- SW'!Q$2,'Rozpočet - HW a licencie'!$C$3:$C$102,"SW",'Rozpočet - HW a licencie'!$G$3:$G$102,'TCO TO BE- SW'!$D8,'Rozpočet - HW a licencie'!$D$3:$D$102,$B$6),)</f>
        <v>0</v>
      </c>
      <c r="R8" s="574">
        <f>IFERROR(SUMIFS('Rozpočet - HW a licencie'!$I$3:$I$102,'Rozpočet - HW a licencie'!$A$3:$A$102,'TCO TO BE- SW'!R$2,'Rozpočet - HW a licencie'!$C$3:$C$102,"SW",'Rozpočet - HW a licencie'!$G$3:$G$102,'TCO TO BE- SW'!$D8,'Rozpočet - HW a licencie'!$D$3:$D$102,$B$6),)</f>
        <v>0</v>
      </c>
      <c r="S8" s="574">
        <f>IFERROR(SUMIFS('Rozpočet - HW a licencie'!$I$3:$I$102,'Rozpočet - HW a licencie'!$A$3:$A$102,'TCO TO BE- SW'!S$2,'Rozpočet - HW a licencie'!$C$3:$C$102,"SW",'Rozpočet - HW a licencie'!$G$3:$G$102,'TCO TO BE- SW'!$D8,'Rozpočet - HW a licencie'!$D$3:$D$102,$B$6),)</f>
        <v>0</v>
      </c>
      <c r="T8" s="574">
        <f>IFERROR(SUMIFS('Rozpočet - HW a licencie'!$I$3:$I$102,'Rozpočet - HW a licencie'!$A$3:$A$102,'TCO TO BE- SW'!T$2,'Rozpočet - HW a licencie'!$C$3:$C$102,"SW",'Rozpočet - HW a licencie'!$G$3:$G$102,'TCO TO BE- SW'!$D8,'Rozpočet - HW a licencie'!$D$3:$D$102,$B$6),)</f>
        <v>0</v>
      </c>
      <c r="U8" s="574">
        <f>IFERROR(SUMIFS('Rozpočet - HW a licencie'!$I$3:$I$102,'Rozpočet - HW a licencie'!$A$3:$A$102,'TCO TO BE- SW'!U$2,'Rozpočet - HW a licencie'!$C$3:$C$102,"SW",'Rozpočet - HW a licencie'!$G$3:$G$102,'TCO TO BE- SW'!$D8,'Rozpočet - HW a licencie'!$D$3:$D$102,$B$6),)</f>
        <v>0</v>
      </c>
      <c r="V8" s="574">
        <f>IFERROR(SUMIFS('Rozpočet - HW a licencie'!$I$3:$I$102,'Rozpočet - HW a licencie'!$A$3:$A$102,'TCO TO BE- SW'!V$2,'Rozpočet - HW a licencie'!$C$3:$C$102,"SW",'Rozpočet - HW a licencie'!$G$3:$G$102,'TCO TO BE- SW'!$D8,'Rozpočet - HW a licencie'!$D$3:$D$102,$B$6),)</f>
        <v>0</v>
      </c>
      <c r="W8" s="574">
        <f>IFERROR(SUMIFS('Rozpočet - HW a licencie'!$I$3:$I$102,'Rozpočet - HW a licencie'!$A$3:$A$102,'TCO TO BE- SW'!W$2,'Rozpočet - HW a licencie'!$C$3:$C$102,"SW",'Rozpočet - HW a licencie'!$G$3:$G$102,'TCO TO BE- SW'!$D8,'Rozpočet - HW a licencie'!$D$3:$D$102,$B$6),)</f>
        <v>0</v>
      </c>
      <c r="X8" s="574">
        <f>IFERROR(SUMIFS('Rozpočet - HW a licencie'!$I$3:$I$102,'Rozpočet - HW a licencie'!$A$3:$A$102,'TCO TO BE- SW'!X$2,'Rozpočet - HW a licencie'!$C$3:$C$102,"SW",'Rozpočet - HW a licencie'!$G$3:$G$102,'TCO TO BE- SW'!$D8,'Rozpočet - HW a licencie'!$D$3:$D$102,$B$6),)</f>
        <v>0</v>
      </c>
      <c r="Y8" s="574">
        <f>IFERROR(SUMIFS('Rozpočet - HW a licencie'!$I$3:$I$102,'Rozpočet - HW a licencie'!$A$3:$A$102,'TCO TO BE- SW'!Y$2,'Rozpočet - HW a licencie'!$C$3:$C$102,"SW",'Rozpočet - HW a licencie'!$G$3:$G$102,'TCO TO BE- SW'!$D8,'Rozpočet - HW a licencie'!$D$3:$D$102,$B$6),)</f>
        <v>0</v>
      </c>
      <c r="Z8" s="574">
        <f>IFERROR(SUMIFS('Rozpočet - HW a licencie'!$I$3:$I$102,'Rozpočet - HW a licencie'!$A$3:$A$102,'TCO TO BE- SW'!Z$2,'Rozpočet - HW a licencie'!$C$3:$C$102,"SW",'Rozpočet - HW a licencie'!$G$3:$G$102,'TCO TO BE- SW'!$D8,'Rozpočet - HW a licencie'!$D$3:$D$102,$B$6),)</f>
        <v>0</v>
      </c>
    </row>
    <row r="9" spans="1:26" outlineLevel="2">
      <c r="A9" s="817"/>
      <c r="B9" s="818"/>
      <c r="C9" s="818"/>
      <c r="D9" s="64">
        <v>4</v>
      </c>
      <c r="E9" s="61">
        <f t="shared" si="4"/>
        <v>0</v>
      </c>
      <c r="F9" s="574">
        <f>IFERROR(SUMIFS('Rozpočet - HW a licencie'!$I$3:$I$102,'Rozpočet - HW a licencie'!$A$3:$A$102,'TCO TO BE- SW'!F$2,'Rozpočet - HW a licencie'!$C$3:$C$102,"SW",'Rozpočet - HW a licencie'!$G$3:$G$102,'TCO TO BE- SW'!$D9,'Rozpočet - HW a licencie'!$D$3:$D$102,$B$6),)</f>
        <v>0</v>
      </c>
      <c r="G9" s="574">
        <f>IFERROR(SUMIFS('Rozpočet - HW a licencie'!$I$3:$I$102,'Rozpočet - HW a licencie'!$A$3:$A$102,'TCO TO BE- SW'!G$2,'Rozpočet - HW a licencie'!$C$3:$C$102,"SW",'Rozpočet - HW a licencie'!$G$3:$G$102,'TCO TO BE- SW'!$D9,'Rozpočet - HW a licencie'!$D$3:$D$102,$B$6),)</f>
        <v>0</v>
      </c>
      <c r="H9" s="574">
        <f>IFERROR(SUMIFS('Rozpočet - HW a licencie'!$I$3:$I$102,'Rozpočet - HW a licencie'!$A$3:$A$102,'TCO TO BE- SW'!H$2,'Rozpočet - HW a licencie'!$C$3:$C$102,"SW",'Rozpočet - HW a licencie'!$G$3:$G$102,'TCO TO BE- SW'!$D9,'Rozpočet - HW a licencie'!$D$3:$D$102,$B$6),)</f>
        <v>0</v>
      </c>
      <c r="I9" s="574">
        <f>IFERROR(SUMIFS('Rozpočet - HW a licencie'!$I$3:$I$102,'Rozpočet - HW a licencie'!$A$3:$A$102,'TCO TO BE- SW'!I$2,'Rozpočet - HW a licencie'!$C$3:$C$102,"SW",'Rozpočet - HW a licencie'!$G$3:$G$102,'TCO TO BE- SW'!$D9,'Rozpočet - HW a licencie'!$D$3:$D$102,$B$6),)</f>
        <v>0</v>
      </c>
      <c r="J9" s="574">
        <f>IFERROR(SUMIFS('Rozpočet - HW a licencie'!$I$3:$I$102,'Rozpočet - HW a licencie'!$A$3:$A$102,'TCO TO BE- SW'!J$2,'Rozpočet - HW a licencie'!$C$3:$C$102,"SW",'Rozpočet - HW a licencie'!$G$3:$G$102,'TCO TO BE- SW'!$D9,'Rozpočet - HW a licencie'!$D$3:$D$102,$B$6),)</f>
        <v>0</v>
      </c>
      <c r="K9" s="574">
        <f>IFERROR(SUMIFS('Rozpočet - HW a licencie'!$I$3:$I$102,'Rozpočet - HW a licencie'!$A$3:$A$102,'TCO TO BE- SW'!K$2,'Rozpočet - HW a licencie'!$C$3:$C$102,"SW",'Rozpočet - HW a licencie'!$G$3:$G$102,'TCO TO BE- SW'!$D9,'Rozpočet - HW a licencie'!$D$3:$D$102,$B$6),)</f>
        <v>0</v>
      </c>
      <c r="L9" s="574">
        <f>IFERROR(SUMIFS('Rozpočet - HW a licencie'!$I$3:$I$102,'Rozpočet - HW a licencie'!$A$3:$A$102,'TCO TO BE- SW'!L$2,'Rozpočet - HW a licencie'!$C$3:$C$102,"SW",'Rozpočet - HW a licencie'!$G$3:$G$102,'TCO TO BE- SW'!$D9,'Rozpočet - HW a licencie'!$D$3:$D$102,$B$6),)</f>
        <v>0</v>
      </c>
      <c r="M9" s="574">
        <f>IFERROR(SUMIFS('Rozpočet - HW a licencie'!$I$3:$I$102,'Rozpočet - HW a licencie'!$A$3:$A$102,'TCO TO BE- SW'!M$2,'Rozpočet - HW a licencie'!$C$3:$C$102,"SW",'Rozpočet - HW a licencie'!$G$3:$G$102,'TCO TO BE- SW'!$D9,'Rozpočet - HW a licencie'!$D$3:$D$102,$B$6),)</f>
        <v>0</v>
      </c>
      <c r="N9" s="574">
        <f>IFERROR(SUMIFS('Rozpočet - HW a licencie'!$I$3:$I$102,'Rozpočet - HW a licencie'!$A$3:$A$102,'TCO TO BE- SW'!N$2,'Rozpočet - HW a licencie'!$C$3:$C$102,"SW",'Rozpočet - HW a licencie'!$G$3:$G$102,'TCO TO BE- SW'!$D9,'Rozpočet - HW a licencie'!$D$3:$D$102,$B$6),)</f>
        <v>0</v>
      </c>
      <c r="O9" s="574">
        <f>IFERROR(SUMIFS('Rozpočet - HW a licencie'!$I$3:$I$102,'Rozpočet - HW a licencie'!$A$3:$A$102,'TCO TO BE- SW'!O$2,'Rozpočet - HW a licencie'!$C$3:$C$102,"SW",'Rozpočet - HW a licencie'!$G$3:$G$102,'TCO TO BE- SW'!$D9,'Rozpočet - HW a licencie'!$D$3:$D$102,$B$6),)</f>
        <v>0</v>
      </c>
      <c r="P9" s="574">
        <f>IFERROR(SUMIFS('Rozpočet - HW a licencie'!$I$3:$I$102,'Rozpočet - HW a licencie'!$A$3:$A$102,'TCO TO BE- SW'!P$2,'Rozpočet - HW a licencie'!$C$3:$C$102,"SW",'Rozpočet - HW a licencie'!$G$3:$G$102,'TCO TO BE- SW'!$D9,'Rozpočet - HW a licencie'!$D$3:$D$102,$B$6),)</f>
        <v>0</v>
      </c>
      <c r="Q9" s="574">
        <f>IFERROR(SUMIFS('Rozpočet - HW a licencie'!$I$3:$I$102,'Rozpočet - HW a licencie'!$A$3:$A$102,'TCO TO BE- SW'!Q$2,'Rozpočet - HW a licencie'!$C$3:$C$102,"SW",'Rozpočet - HW a licencie'!$G$3:$G$102,'TCO TO BE- SW'!$D9,'Rozpočet - HW a licencie'!$D$3:$D$102,$B$6),)</f>
        <v>0</v>
      </c>
      <c r="R9" s="574">
        <f>IFERROR(SUMIFS('Rozpočet - HW a licencie'!$I$3:$I$102,'Rozpočet - HW a licencie'!$A$3:$A$102,'TCO TO BE- SW'!R$2,'Rozpočet - HW a licencie'!$C$3:$C$102,"SW",'Rozpočet - HW a licencie'!$G$3:$G$102,'TCO TO BE- SW'!$D9,'Rozpočet - HW a licencie'!$D$3:$D$102,$B$6),)</f>
        <v>0</v>
      </c>
      <c r="S9" s="574">
        <f>IFERROR(SUMIFS('Rozpočet - HW a licencie'!$I$3:$I$102,'Rozpočet - HW a licencie'!$A$3:$A$102,'TCO TO BE- SW'!S$2,'Rozpočet - HW a licencie'!$C$3:$C$102,"SW",'Rozpočet - HW a licencie'!$G$3:$G$102,'TCO TO BE- SW'!$D9,'Rozpočet - HW a licencie'!$D$3:$D$102,$B$6),)</f>
        <v>0</v>
      </c>
      <c r="T9" s="574">
        <f>IFERROR(SUMIFS('Rozpočet - HW a licencie'!$I$3:$I$102,'Rozpočet - HW a licencie'!$A$3:$A$102,'TCO TO BE- SW'!T$2,'Rozpočet - HW a licencie'!$C$3:$C$102,"SW",'Rozpočet - HW a licencie'!$G$3:$G$102,'TCO TO BE- SW'!$D9,'Rozpočet - HW a licencie'!$D$3:$D$102,$B$6),)</f>
        <v>0</v>
      </c>
      <c r="U9" s="574">
        <f>IFERROR(SUMIFS('Rozpočet - HW a licencie'!$I$3:$I$102,'Rozpočet - HW a licencie'!$A$3:$A$102,'TCO TO BE- SW'!U$2,'Rozpočet - HW a licencie'!$C$3:$C$102,"SW",'Rozpočet - HW a licencie'!$G$3:$G$102,'TCO TO BE- SW'!$D9,'Rozpočet - HW a licencie'!$D$3:$D$102,$B$6),)</f>
        <v>0</v>
      </c>
      <c r="V9" s="574">
        <f>IFERROR(SUMIFS('Rozpočet - HW a licencie'!$I$3:$I$102,'Rozpočet - HW a licencie'!$A$3:$A$102,'TCO TO BE- SW'!V$2,'Rozpočet - HW a licencie'!$C$3:$C$102,"SW",'Rozpočet - HW a licencie'!$G$3:$G$102,'TCO TO BE- SW'!$D9,'Rozpočet - HW a licencie'!$D$3:$D$102,$B$6),)</f>
        <v>0</v>
      </c>
      <c r="W9" s="574">
        <f>IFERROR(SUMIFS('Rozpočet - HW a licencie'!$I$3:$I$102,'Rozpočet - HW a licencie'!$A$3:$A$102,'TCO TO BE- SW'!W$2,'Rozpočet - HW a licencie'!$C$3:$C$102,"SW",'Rozpočet - HW a licencie'!$G$3:$G$102,'TCO TO BE- SW'!$D9,'Rozpočet - HW a licencie'!$D$3:$D$102,$B$6),)</f>
        <v>0</v>
      </c>
      <c r="X9" s="574">
        <f>IFERROR(SUMIFS('Rozpočet - HW a licencie'!$I$3:$I$102,'Rozpočet - HW a licencie'!$A$3:$A$102,'TCO TO BE- SW'!X$2,'Rozpočet - HW a licencie'!$C$3:$C$102,"SW",'Rozpočet - HW a licencie'!$G$3:$G$102,'TCO TO BE- SW'!$D9,'Rozpočet - HW a licencie'!$D$3:$D$102,$B$6),)</f>
        <v>0</v>
      </c>
      <c r="Y9" s="574">
        <f>IFERROR(SUMIFS('Rozpočet - HW a licencie'!$I$3:$I$102,'Rozpočet - HW a licencie'!$A$3:$A$102,'TCO TO BE- SW'!Y$2,'Rozpočet - HW a licencie'!$C$3:$C$102,"SW",'Rozpočet - HW a licencie'!$G$3:$G$102,'TCO TO BE- SW'!$D9,'Rozpočet - HW a licencie'!$D$3:$D$102,$B$6),)</f>
        <v>0</v>
      </c>
      <c r="Z9" s="574">
        <f>IFERROR(SUMIFS('Rozpočet - HW a licencie'!$I$3:$I$102,'Rozpočet - HW a licencie'!$A$3:$A$102,'TCO TO BE- SW'!Z$2,'Rozpočet - HW a licencie'!$C$3:$C$102,"SW",'Rozpočet - HW a licencie'!$G$3:$G$102,'TCO TO BE- SW'!$D9,'Rozpočet - HW a licencie'!$D$3:$D$102,$B$6),)</f>
        <v>0</v>
      </c>
    </row>
    <row r="10" spans="1:26" outlineLevel="2">
      <c r="A10" s="817"/>
      <c r="B10" s="818"/>
      <c r="C10" s="818"/>
      <c r="D10" s="64">
        <v>5</v>
      </c>
      <c r="E10" s="61">
        <f t="shared" si="4"/>
        <v>0</v>
      </c>
      <c r="F10" s="574">
        <f>IFERROR(SUMIFS('Rozpočet - HW a licencie'!$I$3:$I$102,'Rozpočet - HW a licencie'!$A$3:$A$102,'TCO TO BE- SW'!F$2,'Rozpočet - HW a licencie'!$C$3:$C$102,"SW",'Rozpočet - HW a licencie'!$G$3:$G$102,'TCO TO BE- SW'!$D10,'Rozpočet - HW a licencie'!$D$3:$D$102,$B$6),)</f>
        <v>0</v>
      </c>
      <c r="G10" s="574">
        <f>IFERROR(SUMIFS('Rozpočet - HW a licencie'!$I$3:$I$102,'Rozpočet - HW a licencie'!$A$3:$A$102,'TCO TO BE- SW'!G$2,'Rozpočet - HW a licencie'!$C$3:$C$102,"SW",'Rozpočet - HW a licencie'!$G$3:$G$102,'TCO TO BE- SW'!$D10,'Rozpočet - HW a licencie'!$D$3:$D$102,$B$6),)</f>
        <v>0</v>
      </c>
      <c r="H10" s="574">
        <f>IFERROR(SUMIFS('Rozpočet - HW a licencie'!$I$3:$I$102,'Rozpočet - HW a licencie'!$A$3:$A$102,'TCO TO BE- SW'!H$2,'Rozpočet - HW a licencie'!$C$3:$C$102,"SW",'Rozpočet - HW a licencie'!$G$3:$G$102,'TCO TO BE- SW'!$D10,'Rozpočet - HW a licencie'!$D$3:$D$102,$B$6),)</f>
        <v>0</v>
      </c>
      <c r="I10" s="574">
        <f>IFERROR(SUMIFS('Rozpočet - HW a licencie'!$I$3:$I$102,'Rozpočet - HW a licencie'!$A$3:$A$102,'TCO TO BE- SW'!I$2,'Rozpočet - HW a licencie'!$C$3:$C$102,"SW",'Rozpočet - HW a licencie'!$G$3:$G$102,'TCO TO BE- SW'!$D10,'Rozpočet - HW a licencie'!$D$3:$D$102,$B$6),)</f>
        <v>0</v>
      </c>
      <c r="J10" s="574">
        <f>IFERROR(SUMIFS('Rozpočet - HW a licencie'!$I$3:$I$102,'Rozpočet - HW a licencie'!$A$3:$A$102,'TCO TO BE- SW'!J$2,'Rozpočet - HW a licencie'!$C$3:$C$102,"SW",'Rozpočet - HW a licencie'!$G$3:$G$102,'TCO TO BE- SW'!$D10,'Rozpočet - HW a licencie'!$D$3:$D$102,$B$6),)</f>
        <v>0</v>
      </c>
      <c r="K10" s="574">
        <f>IFERROR(SUMIFS('Rozpočet - HW a licencie'!$I$3:$I$102,'Rozpočet - HW a licencie'!$A$3:$A$102,'TCO TO BE- SW'!K$2,'Rozpočet - HW a licencie'!$C$3:$C$102,"SW",'Rozpočet - HW a licencie'!$G$3:$G$102,'TCO TO BE- SW'!$D10,'Rozpočet - HW a licencie'!$D$3:$D$102,$B$6),)</f>
        <v>0</v>
      </c>
      <c r="L10" s="574">
        <f>IFERROR(SUMIFS('Rozpočet - HW a licencie'!$I$3:$I$102,'Rozpočet - HW a licencie'!$A$3:$A$102,'TCO TO BE- SW'!L$2,'Rozpočet - HW a licencie'!$C$3:$C$102,"SW",'Rozpočet - HW a licencie'!$G$3:$G$102,'TCO TO BE- SW'!$D10,'Rozpočet - HW a licencie'!$D$3:$D$102,$B$6),)</f>
        <v>0</v>
      </c>
      <c r="M10" s="574">
        <f>IFERROR(SUMIFS('Rozpočet - HW a licencie'!$I$3:$I$102,'Rozpočet - HW a licencie'!$A$3:$A$102,'TCO TO BE- SW'!M$2,'Rozpočet - HW a licencie'!$C$3:$C$102,"SW",'Rozpočet - HW a licencie'!$G$3:$G$102,'TCO TO BE- SW'!$D10,'Rozpočet - HW a licencie'!$D$3:$D$102,$B$6),)</f>
        <v>0</v>
      </c>
      <c r="N10" s="574">
        <f>IFERROR(SUMIFS('Rozpočet - HW a licencie'!$I$3:$I$102,'Rozpočet - HW a licencie'!$A$3:$A$102,'TCO TO BE- SW'!N$2,'Rozpočet - HW a licencie'!$C$3:$C$102,"SW",'Rozpočet - HW a licencie'!$G$3:$G$102,'TCO TO BE- SW'!$D10,'Rozpočet - HW a licencie'!$D$3:$D$102,$B$6),)</f>
        <v>0</v>
      </c>
      <c r="O10" s="574">
        <f>IFERROR(SUMIFS('Rozpočet - HW a licencie'!$I$3:$I$102,'Rozpočet - HW a licencie'!$A$3:$A$102,'TCO TO BE- SW'!O$2,'Rozpočet - HW a licencie'!$C$3:$C$102,"SW",'Rozpočet - HW a licencie'!$G$3:$G$102,'TCO TO BE- SW'!$D10,'Rozpočet - HW a licencie'!$D$3:$D$102,$B$6),)</f>
        <v>0</v>
      </c>
      <c r="P10" s="574">
        <f>IFERROR(SUMIFS('Rozpočet - HW a licencie'!$I$3:$I$102,'Rozpočet - HW a licencie'!$A$3:$A$102,'TCO TO BE- SW'!P$2,'Rozpočet - HW a licencie'!$C$3:$C$102,"SW",'Rozpočet - HW a licencie'!$G$3:$G$102,'TCO TO BE- SW'!$D10,'Rozpočet - HW a licencie'!$D$3:$D$102,$B$6),)</f>
        <v>0</v>
      </c>
      <c r="Q10" s="574">
        <f>IFERROR(SUMIFS('Rozpočet - HW a licencie'!$I$3:$I$102,'Rozpočet - HW a licencie'!$A$3:$A$102,'TCO TO BE- SW'!Q$2,'Rozpočet - HW a licencie'!$C$3:$C$102,"SW",'Rozpočet - HW a licencie'!$G$3:$G$102,'TCO TO BE- SW'!$D10,'Rozpočet - HW a licencie'!$D$3:$D$102,$B$6),)</f>
        <v>0</v>
      </c>
      <c r="R10" s="574">
        <f>IFERROR(SUMIFS('Rozpočet - HW a licencie'!$I$3:$I$102,'Rozpočet - HW a licencie'!$A$3:$A$102,'TCO TO BE- SW'!R$2,'Rozpočet - HW a licencie'!$C$3:$C$102,"SW",'Rozpočet - HW a licencie'!$G$3:$G$102,'TCO TO BE- SW'!$D10,'Rozpočet - HW a licencie'!$D$3:$D$102,$B$6),)</f>
        <v>0</v>
      </c>
      <c r="S10" s="574">
        <f>IFERROR(SUMIFS('Rozpočet - HW a licencie'!$I$3:$I$102,'Rozpočet - HW a licencie'!$A$3:$A$102,'TCO TO BE- SW'!S$2,'Rozpočet - HW a licencie'!$C$3:$C$102,"SW",'Rozpočet - HW a licencie'!$G$3:$G$102,'TCO TO BE- SW'!$D10,'Rozpočet - HW a licencie'!$D$3:$D$102,$B$6),)</f>
        <v>0</v>
      </c>
      <c r="T10" s="574">
        <f>IFERROR(SUMIFS('Rozpočet - HW a licencie'!$I$3:$I$102,'Rozpočet - HW a licencie'!$A$3:$A$102,'TCO TO BE- SW'!T$2,'Rozpočet - HW a licencie'!$C$3:$C$102,"SW",'Rozpočet - HW a licencie'!$G$3:$G$102,'TCO TO BE- SW'!$D10,'Rozpočet - HW a licencie'!$D$3:$D$102,$B$6),)</f>
        <v>0</v>
      </c>
      <c r="U10" s="574">
        <f>IFERROR(SUMIFS('Rozpočet - HW a licencie'!$I$3:$I$102,'Rozpočet - HW a licencie'!$A$3:$A$102,'TCO TO BE- SW'!U$2,'Rozpočet - HW a licencie'!$C$3:$C$102,"SW",'Rozpočet - HW a licencie'!$G$3:$G$102,'TCO TO BE- SW'!$D10,'Rozpočet - HW a licencie'!$D$3:$D$102,$B$6),)</f>
        <v>0</v>
      </c>
      <c r="V10" s="574">
        <f>IFERROR(SUMIFS('Rozpočet - HW a licencie'!$I$3:$I$102,'Rozpočet - HW a licencie'!$A$3:$A$102,'TCO TO BE- SW'!V$2,'Rozpočet - HW a licencie'!$C$3:$C$102,"SW",'Rozpočet - HW a licencie'!$G$3:$G$102,'TCO TO BE- SW'!$D10,'Rozpočet - HW a licencie'!$D$3:$D$102,$B$6),)</f>
        <v>0</v>
      </c>
      <c r="W10" s="574">
        <f>IFERROR(SUMIFS('Rozpočet - HW a licencie'!$I$3:$I$102,'Rozpočet - HW a licencie'!$A$3:$A$102,'TCO TO BE- SW'!W$2,'Rozpočet - HW a licencie'!$C$3:$C$102,"SW",'Rozpočet - HW a licencie'!$G$3:$G$102,'TCO TO BE- SW'!$D10,'Rozpočet - HW a licencie'!$D$3:$D$102,$B$6),)</f>
        <v>0</v>
      </c>
      <c r="X10" s="574">
        <f>IFERROR(SUMIFS('Rozpočet - HW a licencie'!$I$3:$I$102,'Rozpočet - HW a licencie'!$A$3:$A$102,'TCO TO BE- SW'!X$2,'Rozpočet - HW a licencie'!$C$3:$C$102,"SW",'Rozpočet - HW a licencie'!$G$3:$G$102,'TCO TO BE- SW'!$D10,'Rozpočet - HW a licencie'!$D$3:$D$102,$B$6),)</f>
        <v>0</v>
      </c>
      <c r="Y10" s="574">
        <f>IFERROR(SUMIFS('Rozpočet - HW a licencie'!$I$3:$I$102,'Rozpočet - HW a licencie'!$A$3:$A$102,'TCO TO BE- SW'!Y$2,'Rozpočet - HW a licencie'!$C$3:$C$102,"SW",'Rozpočet - HW a licencie'!$G$3:$G$102,'TCO TO BE- SW'!$D10,'Rozpočet - HW a licencie'!$D$3:$D$102,$B$6),)</f>
        <v>0</v>
      </c>
      <c r="Z10" s="574">
        <f>IFERROR(SUMIFS('Rozpočet - HW a licencie'!$I$3:$I$102,'Rozpočet - HW a licencie'!$A$3:$A$102,'TCO TO BE- SW'!Z$2,'Rozpočet - HW a licencie'!$C$3:$C$102,"SW",'Rozpočet - HW a licencie'!$G$3:$G$102,'TCO TO BE- SW'!$D10,'Rozpočet - HW a licencie'!$D$3:$D$102,$B$6),)</f>
        <v>0</v>
      </c>
    </row>
    <row r="11" spans="1:26" outlineLevel="2">
      <c r="A11" s="817"/>
      <c r="B11" s="818"/>
      <c r="C11" s="818"/>
      <c r="D11" s="64">
        <v>6</v>
      </c>
      <c r="E11" s="61">
        <f t="shared" si="4"/>
        <v>0</v>
      </c>
      <c r="F11" s="574">
        <f>IFERROR(SUMIFS('Rozpočet - HW a licencie'!$I$3:$I$102,'Rozpočet - HW a licencie'!$A$3:$A$102,'TCO TO BE- SW'!F$2,'Rozpočet - HW a licencie'!$C$3:$C$102,"SW",'Rozpočet - HW a licencie'!$G$3:$G$102,'TCO TO BE- SW'!$D11,'Rozpočet - HW a licencie'!$D$3:$D$102,$B$6),)</f>
        <v>0</v>
      </c>
      <c r="G11" s="574">
        <f>IFERROR(SUMIFS('Rozpočet - HW a licencie'!$I$3:$I$102,'Rozpočet - HW a licencie'!$A$3:$A$102,'TCO TO BE- SW'!G$2,'Rozpočet - HW a licencie'!$C$3:$C$102,"SW",'Rozpočet - HW a licencie'!$G$3:$G$102,'TCO TO BE- SW'!$D11,'Rozpočet - HW a licencie'!$D$3:$D$102,$B$6),)</f>
        <v>0</v>
      </c>
      <c r="H11" s="574">
        <f>IFERROR(SUMIFS('Rozpočet - HW a licencie'!$I$3:$I$102,'Rozpočet - HW a licencie'!$A$3:$A$102,'TCO TO BE- SW'!H$2,'Rozpočet - HW a licencie'!$C$3:$C$102,"SW",'Rozpočet - HW a licencie'!$G$3:$G$102,'TCO TO BE- SW'!$D11,'Rozpočet - HW a licencie'!$D$3:$D$102,$B$6),)</f>
        <v>0</v>
      </c>
      <c r="I11" s="574">
        <f>IFERROR(SUMIFS('Rozpočet - HW a licencie'!$I$3:$I$102,'Rozpočet - HW a licencie'!$A$3:$A$102,'TCO TO BE- SW'!I$2,'Rozpočet - HW a licencie'!$C$3:$C$102,"SW",'Rozpočet - HW a licencie'!$G$3:$G$102,'TCO TO BE- SW'!$D11,'Rozpočet - HW a licencie'!$D$3:$D$102,$B$6),)</f>
        <v>0</v>
      </c>
      <c r="J11" s="574">
        <f>IFERROR(SUMIFS('Rozpočet - HW a licencie'!$I$3:$I$102,'Rozpočet - HW a licencie'!$A$3:$A$102,'TCO TO BE- SW'!J$2,'Rozpočet - HW a licencie'!$C$3:$C$102,"SW",'Rozpočet - HW a licencie'!$G$3:$G$102,'TCO TO BE- SW'!$D11,'Rozpočet - HW a licencie'!$D$3:$D$102,$B$6),)</f>
        <v>0</v>
      </c>
      <c r="K11" s="574">
        <f>IFERROR(SUMIFS('Rozpočet - HW a licencie'!$I$3:$I$102,'Rozpočet - HW a licencie'!$A$3:$A$102,'TCO TO BE- SW'!K$2,'Rozpočet - HW a licencie'!$C$3:$C$102,"SW",'Rozpočet - HW a licencie'!$G$3:$G$102,'TCO TO BE- SW'!$D11,'Rozpočet - HW a licencie'!$D$3:$D$102,$B$6),)</f>
        <v>0</v>
      </c>
      <c r="L11" s="574">
        <f>IFERROR(SUMIFS('Rozpočet - HW a licencie'!$I$3:$I$102,'Rozpočet - HW a licencie'!$A$3:$A$102,'TCO TO BE- SW'!L$2,'Rozpočet - HW a licencie'!$C$3:$C$102,"SW",'Rozpočet - HW a licencie'!$G$3:$G$102,'TCO TO BE- SW'!$D11,'Rozpočet - HW a licencie'!$D$3:$D$102,$B$6),)</f>
        <v>0</v>
      </c>
      <c r="M11" s="574">
        <f>IFERROR(SUMIFS('Rozpočet - HW a licencie'!$I$3:$I$102,'Rozpočet - HW a licencie'!$A$3:$A$102,'TCO TO BE- SW'!M$2,'Rozpočet - HW a licencie'!$C$3:$C$102,"SW",'Rozpočet - HW a licencie'!$G$3:$G$102,'TCO TO BE- SW'!$D11,'Rozpočet - HW a licencie'!$D$3:$D$102,$B$6),)</f>
        <v>0</v>
      </c>
      <c r="N11" s="574">
        <f>IFERROR(SUMIFS('Rozpočet - HW a licencie'!$I$3:$I$102,'Rozpočet - HW a licencie'!$A$3:$A$102,'TCO TO BE- SW'!N$2,'Rozpočet - HW a licencie'!$C$3:$C$102,"SW",'Rozpočet - HW a licencie'!$G$3:$G$102,'TCO TO BE- SW'!$D11,'Rozpočet - HW a licencie'!$D$3:$D$102,$B$6),)</f>
        <v>0</v>
      </c>
      <c r="O11" s="574">
        <f>IFERROR(SUMIFS('Rozpočet - HW a licencie'!$I$3:$I$102,'Rozpočet - HW a licencie'!$A$3:$A$102,'TCO TO BE- SW'!O$2,'Rozpočet - HW a licencie'!$C$3:$C$102,"SW",'Rozpočet - HW a licencie'!$G$3:$G$102,'TCO TO BE- SW'!$D11,'Rozpočet - HW a licencie'!$D$3:$D$102,$B$6),)</f>
        <v>0</v>
      </c>
      <c r="P11" s="574">
        <f>IFERROR(SUMIFS('Rozpočet - HW a licencie'!$I$3:$I$102,'Rozpočet - HW a licencie'!$A$3:$A$102,'TCO TO BE- SW'!P$2,'Rozpočet - HW a licencie'!$C$3:$C$102,"SW",'Rozpočet - HW a licencie'!$G$3:$G$102,'TCO TO BE- SW'!$D11,'Rozpočet - HW a licencie'!$D$3:$D$102,$B$6),)</f>
        <v>0</v>
      </c>
      <c r="Q11" s="574">
        <f>IFERROR(SUMIFS('Rozpočet - HW a licencie'!$I$3:$I$102,'Rozpočet - HW a licencie'!$A$3:$A$102,'TCO TO BE- SW'!Q$2,'Rozpočet - HW a licencie'!$C$3:$C$102,"SW",'Rozpočet - HW a licencie'!$G$3:$G$102,'TCO TO BE- SW'!$D11,'Rozpočet - HW a licencie'!$D$3:$D$102,$B$6),)</f>
        <v>0</v>
      </c>
      <c r="R11" s="574">
        <f>IFERROR(SUMIFS('Rozpočet - HW a licencie'!$I$3:$I$102,'Rozpočet - HW a licencie'!$A$3:$A$102,'TCO TO BE- SW'!R$2,'Rozpočet - HW a licencie'!$C$3:$C$102,"SW",'Rozpočet - HW a licencie'!$G$3:$G$102,'TCO TO BE- SW'!$D11,'Rozpočet - HW a licencie'!$D$3:$D$102,$B$6),)</f>
        <v>0</v>
      </c>
      <c r="S11" s="574">
        <f>IFERROR(SUMIFS('Rozpočet - HW a licencie'!$I$3:$I$102,'Rozpočet - HW a licencie'!$A$3:$A$102,'TCO TO BE- SW'!S$2,'Rozpočet - HW a licencie'!$C$3:$C$102,"SW",'Rozpočet - HW a licencie'!$G$3:$G$102,'TCO TO BE- SW'!$D11,'Rozpočet - HW a licencie'!$D$3:$D$102,$B$6),)</f>
        <v>0</v>
      </c>
      <c r="T11" s="574">
        <f>IFERROR(SUMIFS('Rozpočet - HW a licencie'!$I$3:$I$102,'Rozpočet - HW a licencie'!$A$3:$A$102,'TCO TO BE- SW'!T$2,'Rozpočet - HW a licencie'!$C$3:$C$102,"SW",'Rozpočet - HW a licencie'!$G$3:$G$102,'TCO TO BE- SW'!$D11,'Rozpočet - HW a licencie'!$D$3:$D$102,$B$6),)</f>
        <v>0</v>
      </c>
      <c r="U11" s="574">
        <f>IFERROR(SUMIFS('Rozpočet - HW a licencie'!$I$3:$I$102,'Rozpočet - HW a licencie'!$A$3:$A$102,'TCO TO BE- SW'!U$2,'Rozpočet - HW a licencie'!$C$3:$C$102,"SW",'Rozpočet - HW a licencie'!$G$3:$G$102,'TCO TO BE- SW'!$D11,'Rozpočet - HW a licencie'!$D$3:$D$102,$B$6),)</f>
        <v>0</v>
      </c>
      <c r="V11" s="574">
        <f>IFERROR(SUMIFS('Rozpočet - HW a licencie'!$I$3:$I$102,'Rozpočet - HW a licencie'!$A$3:$A$102,'TCO TO BE- SW'!V$2,'Rozpočet - HW a licencie'!$C$3:$C$102,"SW",'Rozpočet - HW a licencie'!$G$3:$G$102,'TCO TO BE- SW'!$D11,'Rozpočet - HW a licencie'!$D$3:$D$102,$B$6),)</f>
        <v>0</v>
      </c>
      <c r="W11" s="574">
        <f>IFERROR(SUMIFS('Rozpočet - HW a licencie'!$I$3:$I$102,'Rozpočet - HW a licencie'!$A$3:$A$102,'TCO TO BE- SW'!W$2,'Rozpočet - HW a licencie'!$C$3:$C$102,"SW",'Rozpočet - HW a licencie'!$G$3:$G$102,'TCO TO BE- SW'!$D11,'Rozpočet - HW a licencie'!$D$3:$D$102,$B$6),)</f>
        <v>0</v>
      </c>
      <c r="X11" s="574">
        <f>IFERROR(SUMIFS('Rozpočet - HW a licencie'!$I$3:$I$102,'Rozpočet - HW a licencie'!$A$3:$A$102,'TCO TO BE- SW'!X$2,'Rozpočet - HW a licencie'!$C$3:$C$102,"SW",'Rozpočet - HW a licencie'!$G$3:$G$102,'TCO TO BE- SW'!$D11,'Rozpočet - HW a licencie'!$D$3:$D$102,$B$6),)</f>
        <v>0</v>
      </c>
      <c r="Y11" s="574">
        <f>IFERROR(SUMIFS('Rozpočet - HW a licencie'!$I$3:$I$102,'Rozpočet - HW a licencie'!$A$3:$A$102,'TCO TO BE- SW'!Y$2,'Rozpočet - HW a licencie'!$C$3:$C$102,"SW",'Rozpočet - HW a licencie'!$G$3:$G$102,'TCO TO BE- SW'!$D11,'Rozpočet - HW a licencie'!$D$3:$D$102,$B$6),)</f>
        <v>0</v>
      </c>
      <c r="Z11" s="574">
        <f>IFERROR(SUMIFS('Rozpočet - HW a licencie'!$I$3:$I$102,'Rozpočet - HW a licencie'!$A$3:$A$102,'TCO TO BE- SW'!Z$2,'Rozpočet - HW a licencie'!$C$3:$C$102,"SW",'Rozpočet - HW a licencie'!$G$3:$G$102,'TCO TO BE- SW'!$D11,'Rozpočet - HW a licencie'!$D$3:$D$102,$B$6),)</f>
        <v>0</v>
      </c>
    </row>
    <row r="12" spans="1:26" outlineLevel="2">
      <c r="A12" s="817"/>
      <c r="B12" s="818"/>
      <c r="C12" s="818"/>
      <c r="D12" s="64">
        <v>7</v>
      </c>
      <c r="E12" s="61">
        <f t="shared" si="4"/>
        <v>0</v>
      </c>
      <c r="F12" s="574">
        <f>IFERROR(SUMIFS('Rozpočet - HW a licencie'!$I$3:$I$102,'Rozpočet - HW a licencie'!$A$3:$A$102,'TCO TO BE- SW'!F$2,'Rozpočet - HW a licencie'!$C$3:$C$102,"SW",'Rozpočet - HW a licencie'!$G$3:$G$102,'TCO TO BE- SW'!$D12,'Rozpočet - HW a licencie'!$D$3:$D$102,$B$6),)</f>
        <v>0</v>
      </c>
      <c r="G12" s="574">
        <f>IFERROR(SUMIFS('Rozpočet - HW a licencie'!$I$3:$I$102,'Rozpočet - HW a licencie'!$A$3:$A$102,'TCO TO BE- SW'!G$2,'Rozpočet - HW a licencie'!$C$3:$C$102,"SW",'Rozpočet - HW a licencie'!$G$3:$G$102,'TCO TO BE- SW'!$D12,'Rozpočet - HW a licencie'!$D$3:$D$102,$B$6),)</f>
        <v>0</v>
      </c>
      <c r="H12" s="574">
        <f>IFERROR(SUMIFS('Rozpočet - HW a licencie'!$I$3:$I$102,'Rozpočet - HW a licencie'!$A$3:$A$102,'TCO TO BE- SW'!H$2,'Rozpočet - HW a licencie'!$C$3:$C$102,"SW",'Rozpočet - HW a licencie'!$G$3:$G$102,'TCO TO BE- SW'!$D12,'Rozpočet - HW a licencie'!$D$3:$D$102,$B$6),)</f>
        <v>0</v>
      </c>
      <c r="I12" s="574">
        <f>IFERROR(SUMIFS('Rozpočet - HW a licencie'!$I$3:$I$102,'Rozpočet - HW a licencie'!$A$3:$A$102,'TCO TO BE- SW'!I$2,'Rozpočet - HW a licencie'!$C$3:$C$102,"SW",'Rozpočet - HW a licencie'!$G$3:$G$102,'TCO TO BE- SW'!$D12,'Rozpočet - HW a licencie'!$D$3:$D$102,$B$6),)</f>
        <v>0</v>
      </c>
      <c r="J12" s="574">
        <f>IFERROR(SUMIFS('Rozpočet - HW a licencie'!$I$3:$I$102,'Rozpočet - HW a licencie'!$A$3:$A$102,'TCO TO BE- SW'!J$2,'Rozpočet - HW a licencie'!$C$3:$C$102,"SW",'Rozpočet - HW a licencie'!$G$3:$G$102,'TCO TO BE- SW'!$D12,'Rozpočet - HW a licencie'!$D$3:$D$102,$B$6),)</f>
        <v>0</v>
      </c>
      <c r="K12" s="574">
        <f>IFERROR(SUMIFS('Rozpočet - HW a licencie'!$I$3:$I$102,'Rozpočet - HW a licencie'!$A$3:$A$102,'TCO TO BE- SW'!K$2,'Rozpočet - HW a licencie'!$C$3:$C$102,"SW",'Rozpočet - HW a licencie'!$G$3:$G$102,'TCO TO BE- SW'!$D12,'Rozpočet - HW a licencie'!$D$3:$D$102,$B$6),)</f>
        <v>0</v>
      </c>
      <c r="L12" s="574">
        <f>IFERROR(SUMIFS('Rozpočet - HW a licencie'!$I$3:$I$102,'Rozpočet - HW a licencie'!$A$3:$A$102,'TCO TO BE- SW'!L$2,'Rozpočet - HW a licencie'!$C$3:$C$102,"SW",'Rozpočet - HW a licencie'!$G$3:$G$102,'TCO TO BE- SW'!$D12,'Rozpočet - HW a licencie'!$D$3:$D$102,$B$6),)</f>
        <v>0</v>
      </c>
      <c r="M12" s="574">
        <f>IFERROR(SUMIFS('Rozpočet - HW a licencie'!$I$3:$I$102,'Rozpočet - HW a licencie'!$A$3:$A$102,'TCO TO BE- SW'!M$2,'Rozpočet - HW a licencie'!$C$3:$C$102,"SW",'Rozpočet - HW a licencie'!$G$3:$G$102,'TCO TO BE- SW'!$D12,'Rozpočet - HW a licencie'!$D$3:$D$102,$B$6),)</f>
        <v>0</v>
      </c>
      <c r="N12" s="574">
        <f>IFERROR(SUMIFS('Rozpočet - HW a licencie'!$I$3:$I$102,'Rozpočet - HW a licencie'!$A$3:$A$102,'TCO TO BE- SW'!N$2,'Rozpočet - HW a licencie'!$C$3:$C$102,"SW",'Rozpočet - HW a licencie'!$G$3:$G$102,'TCO TO BE- SW'!$D12,'Rozpočet - HW a licencie'!$D$3:$D$102,$B$6),)</f>
        <v>0</v>
      </c>
      <c r="O12" s="574">
        <f>IFERROR(SUMIFS('Rozpočet - HW a licencie'!$I$3:$I$102,'Rozpočet - HW a licencie'!$A$3:$A$102,'TCO TO BE- SW'!O$2,'Rozpočet - HW a licencie'!$C$3:$C$102,"SW",'Rozpočet - HW a licencie'!$G$3:$G$102,'TCO TO BE- SW'!$D12,'Rozpočet - HW a licencie'!$D$3:$D$102,$B$6),)</f>
        <v>0</v>
      </c>
      <c r="P12" s="574">
        <f>IFERROR(SUMIFS('Rozpočet - HW a licencie'!$I$3:$I$102,'Rozpočet - HW a licencie'!$A$3:$A$102,'TCO TO BE- SW'!P$2,'Rozpočet - HW a licencie'!$C$3:$C$102,"SW",'Rozpočet - HW a licencie'!$G$3:$G$102,'TCO TO BE- SW'!$D12,'Rozpočet - HW a licencie'!$D$3:$D$102,$B$6),)</f>
        <v>0</v>
      </c>
      <c r="Q12" s="574">
        <f>IFERROR(SUMIFS('Rozpočet - HW a licencie'!$I$3:$I$102,'Rozpočet - HW a licencie'!$A$3:$A$102,'TCO TO BE- SW'!Q$2,'Rozpočet - HW a licencie'!$C$3:$C$102,"SW",'Rozpočet - HW a licencie'!$G$3:$G$102,'TCO TO BE- SW'!$D12,'Rozpočet - HW a licencie'!$D$3:$D$102,$B$6),)</f>
        <v>0</v>
      </c>
      <c r="R12" s="574">
        <f>IFERROR(SUMIFS('Rozpočet - HW a licencie'!$I$3:$I$102,'Rozpočet - HW a licencie'!$A$3:$A$102,'TCO TO BE- SW'!R$2,'Rozpočet - HW a licencie'!$C$3:$C$102,"SW",'Rozpočet - HW a licencie'!$G$3:$G$102,'TCO TO BE- SW'!$D12,'Rozpočet - HW a licencie'!$D$3:$D$102,$B$6),)</f>
        <v>0</v>
      </c>
      <c r="S12" s="574">
        <f>IFERROR(SUMIFS('Rozpočet - HW a licencie'!$I$3:$I$102,'Rozpočet - HW a licencie'!$A$3:$A$102,'TCO TO BE- SW'!S$2,'Rozpočet - HW a licencie'!$C$3:$C$102,"SW",'Rozpočet - HW a licencie'!$G$3:$G$102,'TCO TO BE- SW'!$D12,'Rozpočet - HW a licencie'!$D$3:$D$102,$B$6),)</f>
        <v>0</v>
      </c>
      <c r="T12" s="574">
        <f>IFERROR(SUMIFS('Rozpočet - HW a licencie'!$I$3:$I$102,'Rozpočet - HW a licencie'!$A$3:$A$102,'TCO TO BE- SW'!T$2,'Rozpočet - HW a licencie'!$C$3:$C$102,"SW",'Rozpočet - HW a licencie'!$G$3:$G$102,'TCO TO BE- SW'!$D12,'Rozpočet - HW a licencie'!$D$3:$D$102,$B$6),)</f>
        <v>0</v>
      </c>
      <c r="U12" s="574">
        <f>IFERROR(SUMIFS('Rozpočet - HW a licencie'!$I$3:$I$102,'Rozpočet - HW a licencie'!$A$3:$A$102,'TCO TO BE- SW'!U$2,'Rozpočet - HW a licencie'!$C$3:$C$102,"SW",'Rozpočet - HW a licencie'!$G$3:$G$102,'TCO TO BE- SW'!$D12,'Rozpočet - HW a licencie'!$D$3:$D$102,$B$6),)</f>
        <v>0</v>
      </c>
      <c r="V12" s="574">
        <f>IFERROR(SUMIFS('Rozpočet - HW a licencie'!$I$3:$I$102,'Rozpočet - HW a licencie'!$A$3:$A$102,'TCO TO BE- SW'!V$2,'Rozpočet - HW a licencie'!$C$3:$C$102,"SW",'Rozpočet - HW a licencie'!$G$3:$G$102,'TCO TO BE- SW'!$D12,'Rozpočet - HW a licencie'!$D$3:$D$102,$B$6),)</f>
        <v>0</v>
      </c>
      <c r="W12" s="574">
        <f>IFERROR(SUMIFS('Rozpočet - HW a licencie'!$I$3:$I$102,'Rozpočet - HW a licencie'!$A$3:$A$102,'TCO TO BE- SW'!W$2,'Rozpočet - HW a licencie'!$C$3:$C$102,"SW",'Rozpočet - HW a licencie'!$G$3:$G$102,'TCO TO BE- SW'!$D12,'Rozpočet - HW a licencie'!$D$3:$D$102,$B$6),)</f>
        <v>0</v>
      </c>
      <c r="X12" s="574">
        <f>IFERROR(SUMIFS('Rozpočet - HW a licencie'!$I$3:$I$102,'Rozpočet - HW a licencie'!$A$3:$A$102,'TCO TO BE- SW'!X$2,'Rozpočet - HW a licencie'!$C$3:$C$102,"SW",'Rozpočet - HW a licencie'!$G$3:$G$102,'TCO TO BE- SW'!$D12,'Rozpočet - HW a licencie'!$D$3:$D$102,$B$6),)</f>
        <v>0</v>
      </c>
      <c r="Y12" s="574">
        <f>IFERROR(SUMIFS('Rozpočet - HW a licencie'!$I$3:$I$102,'Rozpočet - HW a licencie'!$A$3:$A$102,'TCO TO BE- SW'!Y$2,'Rozpočet - HW a licencie'!$C$3:$C$102,"SW",'Rozpočet - HW a licencie'!$G$3:$G$102,'TCO TO BE- SW'!$D12,'Rozpočet - HW a licencie'!$D$3:$D$102,$B$6),)</f>
        <v>0</v>
      </c>
      <c r="Z12" s="574">
        <f>IFERROR(SUMIFS('Rozpočet - HW a licencie'!$I$3:$I$102,'Rozpočet - HW a licencie'!$A$3:$A$102,'TCO TO BE- SW'!Z$2,'Rozpočet - HW a licencie'!$C$3:$C$102,"SW",'Rozpočet - HW a licencie'!$G$3:$G$102,'TCO TO BE- SW'!$D12,'Rozpočet - HW a licencie'!$D$3:$D$102,$B$6),)</f>
        <v>0</v>
      </c>
    </row>
    <row r="13" spans="1:26" outlineLevel="2">
      <c r="A13" s="817"/>
      <c r="B13" s="818"/>
      <c r="C13" s="818"/>
      <c r="D13" s="64">
        <v>8</v>
      </c>
      <c r="E13" s="61">
        <f t="shared" si="4"/>
        <v>0</v>
      </c>
      <c r="F13" s="574">
        <f>IFERROR(SUMIFS('Rozpočet - HW a licencie'!$I$3:$I$102,'Rozpočet - HW a licencie'!$A$3:$A$102,'TCO TO BE- SW'!F$2,'Rozpočet - HW a licencie'!$C$3:$C$102,"SW",'Rozpočet - HW a licencie'!$G$3:$G$102,'TCO TO BE- SW'!$D13,'Rozpočet - HW a licencie'!$D$3:$D$102,$B$6),)</f>
        <v>0</v>
      </c>
      <c r="G13" s="574">
        <f>IFERROR(SUMIFS('Rozpočet - HW a licencie'!$I$3:$I$102,'Rozpočet - HW a licencie'!$A$3:$A$102,'TCO TO BE- SW'!G$2,'Rozpočet - HW a licencie'!$C$3:$C$102,"SW",'Rozpočet - HW a licencie'!$G$3:$G$102,'TCO TO BE- SW'!$D13,'Rozpočet - HW a licencie'!$D$3:$D$102,$B$6),)</f>
        <v>0</v>
      </c>
      <c r="H13" s="574">
        <f>IFERROR(SUMIFS('Rozpočet - HW a licencie'!$I$3:$I$102,'Rozpočet - HW a licencie'!$A$3:$A$102,'TCO TO BE- SW'!H$2,'Rozpočet - HW a licencie'!$C$3:$C$102,"SW",'Rozpočet - HW a licencie'!$G$3:$G$102,'TCO TO BE- SW'!$D13,'Rozpočet - HW a licencie'!$D$3:$D$102,$B$6),)</f>
        <v>0</v>
      </c>
      <c r="I13" s="574">
        <f>IFERROR(SUMIFS('Rozpočet - HW a licencie'!$I$3:$I$102,'Rozpočet - HW a licencie'!$A$3:$A$102,'TCO TO BE- SW'!I$2,'Rozpočet - HW a licencie'!$C$3:$C$102,"SW",'Rozpočet - HW a licencie'!$G$3:$G$102,'TCO TO BE- SW'!$D13,'Rozpočet - HW a licencie'!$D$3:$D$102,$B$6),)</f>
        <v>0</v>
      </c>
      <c r="J13" s="574">
        <f>IFERROR(SUMIFS('Rozpočet - HW a licencie'!$I$3:$I$102,'Rozpočet - HW a licencie'!$A$3:$A$102,'TCO TO BE- SW'!J$2,'Rozpočet - HW a licencie'!$C$3:$C$102,"SW",'Rozpočet - HW a licencie'!$G$3:$G$102,'TCO TO BE- SW'!$D13,'Rozpočet - HW a licencie'!$D$3:$D$102,$B$6),)</f>
        <v>0</v>
      </c>
      <c r="K13" s="574">
        <f>IFERROR(SUMIFS('Rozpočet - HW a licencie'!$I$3:$I$102,'Rozpočet - HW a licencie'!$A$3:$A$102,'TCO TO BE- SW'!K$2,'Rozpočet - HW a licencie'!$C$3:$C$102,"SW",'Rozpočet - HW a licencie'!$G$3:$G$102,'TCO TO BE- SW'!$D13,'Rozpočet - HW a licencie'!$D$3:$D$102,$B$6),)</f>
        <v>0</v>
      </c>
      <c r="L13" s="574">
        <f>IFERROR(SUMIFS('Rozpočet - HW a licencie'!$I$3:$I$102,'Rozpočet - HW a licencie'!$A$3:$A$102,'TCO TO BE- SW'!L$2,'Rozpočet - HW a licencie'!$C$3:$C$102,"SW",'Rozpočet - HW a licencie'!$G$3:$G$102,'TCO TO BE- SW'!$D13,'Rozpočet - HW a licencie'!$D$3:$D$102,$B$6),)</f>
        <v>0</v>
      </c>
      <c r="M13" s="574">
        <f>IFERROR(SUMIFS('Rozpočet - HW a licencie'!$I$3:$I$102,'Rozpočet - HW a licencie'!$A$3:$A$102,'TCO TO BE- SW'!M$2,'Rozpočet - HW a licencie'!$C$3:$C$102,"SW",'Rozpočet - HW a licencie'!$G$3:$G$102,'TCO TO BE- SW'!$D13,'Rozpočet - HW a licencie'!$D$3:$D$102,$B$6),)</f>
        <v>0</v>
      </c>
      <c r="N13" s="574">
        <f>IFERROR(SUMIFS('Rozpočet - HW a licencie'!$I$3:$I$102,'Rozpočet - HW a licencie'!$A$3:$A$102,'TCO TO BE- SW'!N$2,'Rozpočet - HW a licencie'!$C$3:$C$102,"SW",'Rozpočet - HW a licencie'!$G$3:$G$102,'TCO TO BE- SW'!$D13,'Rozpočet - HW a licencie'!$D$3:$D$102,$B$6),)</f>
        <v>0</v>
      </c>
      <c r="O13" s="574">
        <f>IFERROR(SUMIFS('Rozpočet - HW a licencie'!$I$3:$I$102,'Rozpočet - HW a licencie'!$A$3:$A$102,'TCO TO BE- SW'!O$2,'Rozpočet - HW a licencie'!$C$3:$C$102,"SW",'Rozpočet - HW a licencie'!$G$3:$G$102,'TCO TO BE- SW'!$D13,'Rozpočet - HW a licencie'!$D$3:$D$102,$B$6),)</f>
        <v>0</v>
      </c>
      <c r="P13" s="574">
        <f>IFERROR(SUMIFS('Rozpočet - HW a licencie'!$I$3:$I$102,'Rozpočet - HW a licencie'!$A$3:$A$102,'TCO TO BE- SW'!P$2,'Rozpočet - HW a licencie'!$C$3:$C$102,"SW",'Rozpočet - HW a licencie'!$G$3:$G$102,'TCO TO BE- SW'!$D13,'Rozpočet - HW a licencie'!$D$3:$D$102,$B$6),)</f>
        <v>0</v>
      </c>
      <c r="Q13" s="574">
        <f>IFERROR(SUMIFS('Rozpočet - HW a licencie'!$I$3:$I$102,'Rozpočet - HW a licencie'!$A$3:$A$102,'TCO TO BE- SW'!Q$2,'Rozpočet - HW a licencie'!$C$3:$C$102,"SW",'Rozpočet - HW a licencie'!$G$3:$G$102,'TCO TO BE- SW'!$D13,'Rozpočet - HW a licencie'!$D$3:$D$102,$B$6),)</f>
        <v>0</v>
      </c>
      <c r="R13" s="574">
        <f>IFERROR(SUMIFS('Rozpočet - HW a licencie'!$I$3:$I$102,'Rozpočet - HW a licencie'!$A$3:$A$102,'TCO TO BE- SW'!R$2,'Rozpočet - HW a licencie'!$C$3:$C$102,"SW",'Rozpočet - HW a licencie'!$G$3:$G$102,'TCO TO BE- SW'!$D13,'Rozpočet - HW a licencie'!$D$3:$D$102,$B$6),)</f>
        <v>0</v>
      </c>
      <c r="S13" s="574">
        <f>IFERROR(SUMIFS('Rozpočet - HW a licencie'!$I$3:$I$102,'Rozpočet - HW a licencie'!$A$3:$A$102,'TCO TO BE- SW'!S$2,'Rozpočet - HW a licencie'!$C$3:$C$102,"SW",'Rozpočet - HW a licencie'!$G$3:$G$102,'TCO TO BE- SW'!$D13,'Rozpočet - HW a licencie'!$D$3:$D$102,$B$6),)</f>
        <v>0</v>
      </c>
      <c r="T13" s="574">
        <f>IFERROR(SUMIFS('Rozpočet - HW a licencie'!$I$3:$I$102,'Rozpočet - HW a licencie'!$A$3:$A$102,'TCO TO BE- SW'!T$2,'Rozpočet - HW a licencie'!$C$3:$C$102,"SW",'Rozpočet - HW a licencie'!$G$3:$G$102,'TCO TO BE- SW'!$D13,'Rozpočet - HW a licencie'!$D$3:$D$102,$B$6),)</f>
        <v>0</v>
      </c>
      <c r="U13" s="574">
        <f>IFERROR(SUMIFS('Rozpočet - HW a licencie'!$I$3:$I$102,'Rozpočet - HW a licencie'!$A$3:$A$102,'TCO TO BE- SW'!U$2,'Rozpočet - HW a licencie'!$C$3:$C$102,"SW",'Rozpočet - HW a licencie'!$G$3:$G$102,'TCO TO BE- SW'!$D13,'Rozpočet - HW a licencie'!$D$3:$D$102,$B$6),)</f>
        <v>0</v>
      </c>
      <c r="V13" s="574">
        <f>IFERROR(SUMIFS('Rozpočet - HW a licencie'!$I$3:$I$102,'Rozpočet - HW a licencie'!$A$3:$A$102,'TCO TO BE- SW'!V$2,'Rozpočet - HW a licencie'!$C$3:$C$102,"SW",'Rozpočet - HW a licencie'!$G$3:$G$102,'TCO TO BE- SW'!$D13,'Rozpočet - HW a licencie'!$D$3:$D$102,$B$6),)</f>
        <v>0</v>
      </c>
      <c r="W13" s="574">
        <f>IFERROR(SUMIFS('Rozpočet - HW a licencie'!$I$3:$I$102,'Rozpočet - HW a licencie'!$A$3:$A$102,'TCO TO BE- SW'!W$2,'Rozpočet - HW a licencie'!$C$3:$C$102,"SW",'Rozpočet - HW a licencie'!$G$3:$G$102,'TCO TO BE- SW'!$D13,'Rozpočet - HW a licencie'!$D$3:$D$102,$B$6),)</f>
        <v>0</v>
      </c>
      <c r="X13" s="574">
        <f>IFERROR(SUMIFS('Rozpočet - HW a licencie'!$I$3:$I$102,'Rozpočet - HW a licencie'!$A$3:$A$102,'TCO TO BE- SW'!X$2,'Rozpočet - HW a licencie'!$C$3:$C$102,"SW",'Rozpočet - HW a licencie'!$G$3:$G$102,'TCO TO BE- SW'!$D13,'Rozpočet - HW a licencie'!$D$3:$D$102,$B$6),)</f>
        <v>0</v>
      </c>
      <c r="Y13" s="574">
        <f>IFERROR(SUMIFS('Rozpočet - HW a licencie'!$I$3:$I$102,'Rozpočet - HW a licencie'!$A$3:$A$102,'TCO TO BE- SW'!Y$2,'Rozpočet - HW a licencie'!$C$3:$C$102,"SW",'Rozpočet - HW a licencie'!$G$3:$G$102,'TCO TO BE- SW'!$D13,'Rozpočet - HW a licencie'!$D$3:$D$102,$B$6),)</f>
        <v>0</v>
      </c>
      <c r="Z13" s="574">
        <f>IFERROR(SUMIFS('Rozpočet - HW a licencie'!$I$3:$I$102,'Rozpočet - HW a licencie'!$A$3:$A$102,'TCO TO BE- SW'!Z$2,'Rozpočet - HW a licencie'!$C$3:$C$102,"SW",'Rozpočet - HW a licencie'!$G$3:$G$102,'TCO TO BE- SW'!$D13,'Rozpočet - HW a licencie'!$D$3:$D$102,$B$6),)</f>
        <v>0</v>
      </c>
    </row>
    <row r="14" spans="1:26" outlineLevel="2">
      <c r="A14" s="817"/>
      <c r="B14" s="818"/>
      <c r="C14" s="818"/>
      <c r="D14" s="64">
        <v>9</v>
      </c>
      <c r="E14" s="61">
        <f t="shared" si="4"/>
        <v>0</v>
      </c>
      <c r="F14" s="574">
        <f>IFERROR(SUMIFS('Rozpočet - HW a licencie'!$I$3:$I$102,'Rozpočet - HW a licencie'!$A$3:$A$102,'TCO TO BE- SW'!F$2,'Rozpočet - HW a licencie'!$C$3:$C$102,"SW",'Rozpočet - HW a licencie'!$G$3:$G$102,'TCO TO BE- SW'!$D14,'Rozpočet - HW a licencie'!$D$3:$D$102,$B$6),)</f>
        <v>0</v>
      </c>
      <c r="G14" s="574">
        <f>IFERROR(SUMIFS('Rozpočet - HW a licencie'!$I$3:$I$102,'Rozpočet - HW a licencie'!$A$3:$A$102,'TCO TO BE- SW'!G$2,'Rozpočet - HW a licencie'!$C$3:$C$102,"SW",'Rozpočet - HW a licencie'!$G$3:$G$102,'TCO TO BE- SW'!$D14,'Rozpočet - HW a licencie'!$D$3:$D$102,$B$6),)</f>
        <v>0</v>
      </c>
      <c r="H14" s="574">
        <f>IFERROR(SUMIFS('Rozpočet - HW a licencie'!$I$3:$I$102,'Rozpočet - HW a licencie'!$A$3:$A$102,'TCO TO BE- SW'!H$2,'Rozpočet - HW a licencie'!$C$3:$C$102,"SW",'Rozpočet - HW a licencie'!$G$3:$G$102,'TCO TO BE- SW'!$D14,'Rozpočet - HW a licencie'!$D$3:$D$102,$B$6),)</f>
        <v>0</v>
      </c>
      <c r="I14" s="574">
        <f>IFERROR(SUMIFS('Rozpočet - HW a licencie'!$I$3:$I$102,'Rozpočet - HW a licencie'!$A$3:$A$102,'TCO TO BE- SW'!I$2,'Rozpočet - HW a licencie'!$C$3:$C$102,"SW",'Rozpočet - HW a licencie'!$G$3:$G$102,'TCO TO BE- SW'!$D14,'Rozpočet - HW a licencie'!$D$3:$D$102,$B$6),)</f>
        <v>0</v>
      </c>
      <c r="J14" s="574">
        <f>IFERROR(SUMIFS('Rozpočet - HW a licencie'!$I$3:$I$102,'Rozpočet - HW a licencie'!$A$3:$A$102,'TCO TO BE- SW'!J$2,'Rozpočet - HW a licencie'!$C$3:$C$102,"SW",'Rozpočet - HW a licencie'!$G$3:$G$102,'TCO TO BE- SW'!$D14,'Rozpočet - HW a licencie'!$D$3:$D$102,$B$6),)</f>
        <v>0</v>
      </c>
      <c r="K14" s="574">
        <f>IFERROR(SUMIFS('Rozpočet - HW a licencie'!$I$3:$I$102,'Rozpočet - HW a licencie'!$A$3:$A$102,'TCO TO BE- SW'!K$2,'Rozpočet - HW a licencie'!$C$3:$C$102,"SW",'Rozpočet - HW a licencie'!$G$3:$G$102,'TCO TO BE- SW'!$D14,'Rozpočet - HW a licencie'!$D$3:$D$102,$B$6),)</f>
        <v>0</v>
      </c>
      <c r="L14" s="574">
        <f>IFERROR(SUMIFS('Rozpočet - HW a licencie'!$I$3:$I$102,'Rozpočet - HW a licencie'!$A$3:$A$102,'TCO TO BE- SW'!L$2,'Rozpočet - HW a licencie'!$C$3:$C$102,"SW",'Rozpočet - HW a licencie'!$G$3:$G$102,'TCO TO BE- SW'!$D14,'Rozpočet - HW a licencie'!$D$3:$D$102,$B$6),)</f>
        <v>0</v>
      </c>
      <c r="M14" s="574">
        <f>IFERROR(SUMIFS('Rozpočet - HW a licencie'!$I$3:$I$102,'Rozpočet - HW a licencie'!$A$3:$A$102,'TCO TO BE- SW'!M$2,'Rozpočet - HW a licencie'!$C$3:$C$102,"SW",'Rozpočet - HW a licencie'!$G$3:$G$102,'TCO TO BE- SW'!$D14,'Rozpočet - HW a licencie'!$D$3:$D$102,$B$6),)</f>
        <v>0</v>
      </c>
      <c r="N14" s="574">
        <f>IFERROR(SUMIFS('Rozpočet - HW a licencie'!$I$3:$I$102,'Rozpočet - HW a licencie'!$A$3:$A$102,'TCO TO BE- SW'!N$2,'Rozpočet - HW a licencie'!$C$3:$C$102,"SW",'Rozpočet - HW a licencie'!$G$3:$G$102,'TCO TO BE- SW'!$D14,'Rozpočet - HW a licencie'!$D$3:$D$102,$B$6),)</f>
        <v>0</v>
      </c>
      <c r="O14" s="574">
        <f>IFERROR(SUMIFS('Rozpočet - HW a licencie'!$I$3:$I$102,'Rozpočet - HW a licencie'!$A$3:$A$102,'TCO TO BE- SW'!O$2,'Rozpočet - HW a licencie'!$C$3:$C$102,"SW",'Rozpočet - HW a licencie'!$G$3:$G$102,'TCO TO BE- SW'!$D14,'Rozpočet - HW a licencie'!$D$3:$D$102,$B$6),)</f>
        <v>0</v>
      </c>
      <c r="P14" s="574">
        <f>IFERROR(SUMIFS('Rozpočet - HW a licencie'!$I$3:$I$102,'Rozpočet - HW a licencie'!$A$3:$A$102,'TCO TO BE- SW'!P$2,'Rozpočet - HW a licencie'!$C$3:$C$102,"SW",'Rozpočet - HW a licencie'!$G$3:$G$102,'TCO TO BE- SW'!$D14,'Rozpočet - HW a licencie'!$D$3:$D$102,$B$6),)</f>
        <v>0</v>
      </c>
      <c r="Q14" s="574">
        <f>IFERROR(SUMIFS('Rozpočet - HW a licencie'!$I$3:$I$102,'Rozpočet - HW a licencie'!$A$3:$A$102,'TCO TO BE- SW'!Q$2,'Rozpočet - HW a licencie'!$C$3:$C$102,"SW",'Rozpočet - HW a licencie'!$G$3:$G$102,'TCO TO BE- SW'!$D14,'Rozpočet - HW a licencie'!$D$3:$D$102,$B$6),)</f>
        <v>0</v>
      </c>
      <c r="R14" s="574">
        <f>IFERROR(SUMIFS('Rozpočet - HW a licencie'!$I$3:$I$102,'Rozpočet - HW a licencie'!$A$3:$A$102,'TCO TO BE- SW'!R$2,'Rozpočet - HW a licencie'!$C$3:$C$102,"SW",'Rozpočet - HW a licencie'!$G$3:$G$102,'TCO TO BE- SW'!$D14,'Rozpočet - HW a licencie'!$D$3:$D$102,$B$6),)</f>
        <v>0</v>
      </c>
      <c r="S14" s="574">
        <f>IFERROR(SUMIFS('Rozpočet - HW a licencie'!$I$3:$I$102,'Rozpočet - HW a licencie'!$A$3:$A$102,'TCO TO BE- SW'!S$2,'Rozpočet - HW a licencie'!$C$3:$C$102,"SW",'Rozpočet - HW a licencie'!$G$3:$G$102,'TCO TO BE- SW'!$D14,'Rozpočet - HW a licencie'!$D$3:$D$102,$B$6),)</f>
        <v>0</v>
      </c>
      <c r="T14" s="574">
        <f>IFERROR(SUMIFS('Rozpočet - HW a licencie'!$I$3:$I$102,'Rozpočet - HW a licencie'!$A$3:$A$102,'TCO TO BE- SW'!T$2,'Rozpočet - HW a licencie'!$C$3:$C$102,"SW",'Rozpočet - HW a licencie'!$G$3:$G$102,'TCO TO BE- SW'!$D14,'Rozpočet - HW a licencie'!$D$3:$D$102,$B$6),)</f>
        <v>0</v>
      </c>
      <c r="U14" s="574">
        <f>IFERROR(SUMIFS('Rozpočet - HW a licencie'!$I$3:$I$102,'Rozpočet - HW a licencie'!$A$3:$A$102,'TCO TO BE- SW'!U$2,'Rozpočet - HW a licencie'!$C$3:$C$102,"SW",'Rozpočet - HW a licencie'!$G$3:$G$102,'TCO TO BE- SW'!$D14,'Rozpočet - HW a licencie'!$D$3:$D$102,$B$6),)</f>
        <v>0</v>
      </c>
      <c r="V14" s="574">
        <f>IFERROR(SUMIFS('Rozpočet - HW a licencie'!$I$3:$I$102,'Rozpočet - HW a licencie'!$A$3:$A$102,'TCO TO BE- SW'!V$2,'Rozpočet - HW a licencie'!$C$3:$C$102,"SW",'Rozpočet - HW a licencie'!$G$3:$G$102,'TCO TO BE- SW'!$D14,'Rozpočet - HW a licencie'!$D$3:$D$102,$B$6),)</f>
        <v>0</v>
      </c>
      <c r="W14" s="574">
        <f>IFERROR(SUMIFS('Rozpočet - HW a licencie'!$I$3:$I$102,'Rozpočet - HW a licencie'!$A$3:$A$102,'TCO TO BE- SW'!W$2,'Rozpočet - HW a licencie'!$C$3:$C$102,"SW",'Rozpočet - HW a licencie'!$G$3:$G$102,'TCO TO BE- SW'!$D14,'Rozpočet - HW a licencie'!$D$3:$D$102,$B$6),)</f>
        <v>0</v>
      </c>
      <c r="X14" s="574">
        <f>IFERROR(SUMIFS('Rozpočet - HW a licencie'!$I$3:$I$102,'Rozpočet - HW a licencie'!$A$3:$A$102,'TCO TO BE- SW'!X$2,'Rozpočet - HW a licencie'!$C$3:$C$102,"SW",'Rozpočet - HW a licencie'!$G$3:$G$102,'TCO TO BE- SW'!$D14,'Rozpočet - HW a licencie'!$D$3:$D$102,$B$6),)</f>
        <v>0</v>
      </c>
      <c r="Y14" s="574">
        <f>IFERROR(SUMIFS('Rozpočet - HW a licencie'!$I$3:$I$102,'Rozpočet - HW a licencie'!$A$3:$A$102,'TCO TO BE- SW'!Y$2,'Rozpočet - HW a licencie'!$C$3:$C$102,"SW",'Rozpočet - HW a licencie'!$G$3:$G$102,'TCO TO BE- SW'!$D14,'Rozpočet - HW a licencie'!$D$3:$D$102,$B$6),)</f>
        <v>0</v>
      </c>
      <c r="Z14" s="574">
        <f>IFERROR(SUMIFS('Rozpočet - HW a licencie'!$I$3:$I$102,'Rozpočet - HW a licencie'!$A$3:$A$102,'TCO TO BE- SW'!Z$2,'Rozpočet - HW a licencie'!$C$3:$C$102,"SW",'Rozpočet - HW a licencie'!$G$3:$G$102,'TCO TO BE- SW'!$D14,'Rozpočet - HW a licencie'!$D$3:$D$102,$B$6),)</f>
        <v>0</v>
      </c>
    </row>
    <row r="15" spans="1:26" ht="15.75" outlineLevel="2" thickBot="1">
      <c r="A15" s="817"/>
      <c r="B15" s="818"/>
      <c r="C15" s="818"/>
      <c r="D15" s="65">
        <v>10</v>
      </c>
      <c r="E15" s="61">
        <f t="shared" si="4"/>
        <v>0</v>
      </c>
      <c r="F15" s="575">
        <f>IFERROR(SUMIFS('Rozpočet - HW a licencie'!$I$3:$I$102,'Rozpočet - HW a licencie'!$A$3:$A$102,'TCO TO BE- SW'!F$2,'Rozpočet - HW a licencie'!$C$3:$C$102,"SW",'Rozpočet - HW a licencie'!$G$3:$G$102,'TCO TO BE- SW'!$D15,'Rozpočet - HW a licencie'!$D$3:$D$102,$B$6),)</f>
        <v>0</v>
      </c>
      <c r="G15" s="575">
        <f>IFERROR(SUMIFS('Rozpočet - HW a licencie'!$I$3:$I$102,'Rozpočet - HW a licencie'!$A$3:$A$102,'TCO TO BE- SW'!G$2,'Rozpočet - HW a licencie'!$C$3:$C$102,"SW",'Rozpočet - HW a licencie'!$G$3:$G$102,'TCO TO BE- SW'!$D15,'Rozpočet - HW a licencie'!$D$3:$D$102,$B$6),)</f>
        <v>0</v>
      </c>
      <c r="H15" s="575">
        <f>IFERROR(SUMIFS('Rozpočet - HW a licencie'!$I$3:$I$102,'Rozpočet - HW a licencie'!$A$3:$A$102,'TCO TO BE- SW'!H$2,'Rozpočet - HW a licencie'!$C$3:$C$102,"SW",'Rozpočet - HW a licencie'!$G$3:$G$102,'TCO TO BE- SW'!$D15,'Rozpočet - HW a licencie'!$D$3:$D$102,$B$6),)</f>
        <v>0</v>
      </c>
      <c r="I15" s="575">
        <f>IFERROR(SUMIFS('Rozpočet - HW a licencie'!$I$3:$I$102,'Rozpočet - HW a licencie'!$A$3:$A$102,'TCO TO BE- SW'!I$2,'Rozpočet - HW a licencie'!$C$3:$C$102,"SW",'Rozpočet - HW a licencie'!$G$3:$G$102,'TCO TO BE- SW'!$D15,'Rozpočet - HW a licencie'!$D$3:$D$102,$B$6),)</f>
        <v>0</v>
      </c>
      <c r="J15" s="575">
        <f>IFERROR(SUMIFS('Rozpočet - HW a licencie'!$I$3:$I$102,'Rozpočet - HW a licencie'!$A$3:$A$102,'TCO TO BE- SW'!J$2,'Rozpočet - HW a licencie'!$C$3:$C$102,"SW",'Rozpočet - HW a licencie'!$G$3:$G$102,'TCO TO BE- SW'!$D15,'Rozpočet - HW a licencie'!$D$3:$D$102,$B$6),)</f>
        <v>0</v>
      </c>
      <c r="K15" s="575">
        <f>IFERROR(SUMIFS('Rozpočet - HW a licencie'!$I$3:$I$102,'Rozpočet - HW a licencie'!$A$3:$A$102,'TCO TO BE- SW'!K$2,'Rozpočet - HW a licencie'!$C$3:$C$102,"SW",'Rozpočet - HW a licencie'!$G$3:$G$102,'TCO TO BE- SW'!$D15,'Rozpočet - HW a licencie'!$D$3:$D$102,$B$6),)</f>
        <v>0</v>
      </c>
      <c r="L15" s="575">
        <f>IFERROR(SUMIFS('Rozpočet - HW a licencie'!$I$3:$I$102,'Rozpočet - HW a licencie'!$A$3:$A$102,'TCO TO BE- SW'!L$2,'Rozpočet - HW a licencie'!$C$3:$C$102,"SW",'Rozpočet - HW a licencie'!$G$3:$G$102,'TCO TO BE- SW'!$D15,'Rozpočet - HW a licencie'!$D$3:$D$102,$B$6),)</f>
        <v>0</v>
      </c>
      <c r="M15" s="575">
        <f>IFERROR(SUMIFS('Rozpočet - HW a licencie'!$I$3:$I$102,'Rozpočet - HW a licencie'!$A$3:$A$102,'TCO TO BE- SW'!M$2,'Rozpočet - HW a licencie'!$C$3:$C$102,"SW",'Rozpočet - HW a licencie'!$G$3:$G$102,'TCO TO BE- SW'!$D15,'Rozpočet - HW a licencie'!$D$3:$D$102,$B$6),)</f>
        <v>0</v>
      </c>
      <c r="N15" s="575">
        <f>IFERROR(SUMIFS('Rozpočet - HW a licencie'!$I$3:$I$102,'Rozpočet - HW a licencie'!$A$3:$A$102,'TCO TO BE- SW'!N$2,'Rozpočet - HW a licencie'!$C$3:$C$102,"SW",'Rozpočet - HW a licencie'!$G$3:$G$102,'TCO TO BE- SW'!$D15,'Rozpočet - HW a licencie'!$D$3:$D$102,$B$6),)</f>
        <v>0</v>
      </c>
      <c r="O15" s="575">
        <f>IFERROR(SUMIFS('Rozpočet - HW a licencie'!$I$3:$I$102,'Rozpočet - HW a licencie'!$A$3:$A$102,'TCO TO BE- SW'!O$2,'Rozpočet - HW a licencie'!$C$3:$C$102,"SW",'Rozpočet - HW a licencie'!$G$3:$G$102,'TCO TO BE- SW'!$D15,'Rozpočet - HW a licencie'!$D$3:$D$102,$B$6),)</f>
        <v>0</v>
      </c>
      <c r="P15" s="575">
        <f>IFERROR(SUMIFS('Rozpočet - HW a licencie'!$I$3:$I$102,'Rozpočet - HW a licencie'!$A$3:$A$102,'TCO TO BE- SW'!P$2,'Rozpočet - HW a licencie'!$C$3:$C$102,"SW",'Rozpočet - HW a licencie'!$G$3:$G$102,'TCO TO BE- SW'!$D15,'Rozpočet - HW a licencie'!$D$3:$D$102,$B$6),)</f>
        <v>0</v>
      </c>
      <c r="Q15" s="575">
        <f>IFERROR(SUMIFS('Rozpočet - HW a licencie'!$I$3:$I$102,'Rozpočet - HW a licencie'!$A$3:$A$102,'TCO TO BE- SW'!Q$2,'Rozpočet - HW a licencie'!$C$3:$C$102,"SW",'Rozpočet - HW a licencie'!$G$3:$G$102,'TCO TO BE- SW'!$D15,'Rozpočet - HW a licencie'!$D$3:$D$102,$B$6),)</f>
        <v>0</v>
      </c>
      <c r="R15" s="575">
        <f>IFERROR(SUMIFS('Rozpočet - HW a licencie'!$I$3:$I$102,'Rozpočet - HW a licencie'!$A$3:$A$102,'TCO TO BE- SW'!R$2,'Rozpočet - HW a licencie'!$C$3:$C$102,"SW",'Rozpočet - HW a licencie'!$G$3:$G$102,'TCO TO BE- SW'!$D15,'Rozpočet - HW a licencie'!$D$3:$D$102,$B$6),)</f>
        <v>0</v>
      </c>
      <c r="S15" s="575">
        <f>IFERROR(SUMIFS('Rozpočet - HW a licencie'!$I$3:$I$102,'Rozpočet - HW a licencie'!$A$3:$A$102,'TCO TO BE- SW'!S$2,'Rozpočet - HW a licencie'!$C$3:$C$102,"SW",'Rozpočet - HW a licencie'!$G$3:$G$102,'TCO TO BE- SW'!$D15,'Rozpočet - HW a licencie'!$D$3:$D$102,$B$6),)</f>
        <v>0</v>
      </c>
      <c r="T15" s="575">
        <f>IFERROR(SUMIFS('Rozpočet - HW a licencie'!$I$3:$I$102,'Rozpočet - HW a licencie'!$A$3:$A$102,'TCO TO BE- SW'!T$2,'Rozpočet - HW a licencie'!$C$3:$C$102,"SW",'Rozpočet - HW a licencie'!$G$3:$G$102,'TCO TO BE- SW'!$D15,'Rozpočet - HW a licencie'!$D$3:$D$102,$B$6),)</f>
        <v>0</v>
      </c>
      <c r="U15" s="575">
        <f>IFERROR(SUMIFS('Rozpočet - HW a licencie'!$I$3:$I$102,'Rozpočet - HW a licencie'!$A$3:$A$102,'TCO TO BE- SW'!U$2,'Rozpočet - HW a licencie'!$C$3:$C$102,"SW",'Rozpočet - HW a licencie'!$G$3:$G$102,'TCO TO BE- SW'!$D15,'Rozpočet - HW a licencie'!$D$3:$D$102,$B$6),)</f>
        <v>0</v>
      </c>
      <c r="V15" s="575">
        <f>IFERROR(SUMIFS('Rozpočet - HW a licencie'!$I$3:$I$102,'Rozpočet - HW a licencie'!$A$3:$A$102,'TCO TO BE- SW'!V$2,'Rozpočet - HW a licencie'!$C$3:$C$102,"SW",'Rozpočet - HW a licencie'!$G$3:$G$102,'TCO TO BE- SW'!$D15,'Rozpočet - HW a licencie'!$D$3:$D$102,$B$6),)</f>
        <v>0</v>
      </c>
      <c r="W15" s="575">
        <f>IFERROR(SUMIFS('Rozpočet - HW a licencie'!$I$3:$I$102,'Rozpočet - HW a licencie'!$A$3:$A$102,'TCO TO BE- SW'!W$2,'Rozpočet - HW a licencie'!$C$3:$C$102,"SW",'Rozpočet - HW a licencie'!$G$3:$G$102,'TCO TO BE- SW'!$D15,'Rozpočet - HW a licencie'!$D$3:$D$102,$B$6),)</f>
        <v>0</v>
      </c>
      <c r="X15" s="575">
        <f>IFERROR(SUMIFS('Rozpočet - HW a licencie'!$I$3:$I$102,'Rozpočet - HW a licencie'!$A$3:$A$102,'TCO TO BE- SW'!X$2,'Rozpočet - HW a licencie'!$C$3:$C$102,"SW",'Rozpočet - HW a licencie'!$G$3:$G$102,'TCO TO BE- SW'!$D15,'Rozpočet - HW a licencie'!$D$3:$D$102,$B$6),)</f>
        <v>0</v>
      </c>
      <c r="Y15" s="575">
        <f>IFERROR(SUMIFS('Rozpočet - HW a licencie'!$I$3:$I$102,'Rozpočet - HW a licencie'!$A$3:$A$102,'TCO TO BE- SW'!Y$2,'Rozpočet - HW a licencie'!$C$3:$C$102,"SW",'Rozpočet - HW a licencie'!$G$3:$G$102,'TCO TO BE- SW'!$D15,'Rozpočet - HW a licencie'!$D$3:$D$102,$B$6),)</f>
        <v>0</v>
      </c>
      <c r="Z15" s="575">
        <f>IFERROR(SUMIFS('Rozpočet - HW a licencie'!$I$3:$I$102,'Rozpočet - HW a licencie'!$A$3:$A$102,'TCO TO BE- SW'!Z$2,'Rozpočet - HW a licencie'!$C$3:$C$102,"SW",'Rozpočet - HW a licencie'!$G$3:$G$102,'TCO TO BE- SW'!$D15,'Rozpočet - HW a licencie'!$D$3:$D$102,$B$6),)</f>
        <v>0</v>
      </c>
    </row>
    <row r="16" spans="1:26" outlineLevel="2">
      <c r="A16" s="817" t="s">
        <v>1517</v>
      </c>
      <c r="B16" s="818" t="s">
        <v>1504</v>
      </c>
      <c r="C16" s="818">
        <v>610</v>
      </c>
      <c r="D16" s="63">
        <v>1</v>
      </c>
      <c r="E16" s="60">
        <f t="shared" si="4"/>
        <v>0</v>
      </c>
      <c r="F16" s="576">
        <v>0</v>
      </c>
      <c r="G16" s="576">
        <v>0</v>
      </c>
      <c r="H16" s="576">
        <v>0</v>
      </c>
      <c r="I16" s="576">
        <v>0</v>
      </c>
      <c r="J16" s="576">
        <v>0</v>
      </c>
      <c r="K16" s="576">
        <v>0</v>
      </c>
      <c r="L16" s="576">
        <v>0</v>
      </c>
      <c r="M16" s="576">
        <v>0</v>
      </c>
      <c r="N16" s="576">
        <v>0</v>
      </c>
      <c r="O16" s="576">
        <v>0</v>
      </c>
      <c r="P16" s="576">
        <v>0</v>
      </c>
      <c r="Q16" s="576">
        <v>0</v>
      </c>
      <c r="R16" s="576">
        <v>0</v>
      </c>
      <c r="S16" s="576">
        <v>0</v>
      </c>
      <c r="T16" s="576">
        <v>0</v>
      </c>
      <c r="U16" s="576">
        <v>0</v>
      </c>
      <c r="V16" s="576">
        <v>0</v>
      </c>
      <c r="W16" s="576">
        <v>0</v>
      </c>
      <c r="X16" s="576">
        <v>0</v>
      </c>
      <c r="Y16" s="576">
        <v>0</v>
      </c>
      <c r="Z16" s="576">
        <v>0</v>
      </c>
    </row>
    <row r="17" spans="1:26" outlineLevel="2">
      <c r="A17" s="817"/>
      <c r="B17" s="818"/>
      <c r="C17" s="818"/>
      <c r="D17" s="64">
        <v>2</v>
      </c>
      <c r="E17" s="61">
        <f t="shared" si="4"/>
        <v>0</v>
      </c>
      <c r="F17" s="577">
        <v>0</v>
      </c>
      <c r="G17" s="577">
        <v>0</v>
      </c>
      <c r="H17" s="577">
        <v>0</v>
      </c>
      <c r="I17" s="577">
        <v>0</v>
      </c>
      <c r="J17" s="577">
        <v>0</v>
      </c>
      <c r="K17" s="577">
        <v>0</v>
      </c>
      <c r="L17" s="577">
        <v>0</v>
      </c>
      <c r="M17" s="577">
        <v>0</v>
      </c>
      <c r="N17" s="577">
        <v>0</v>
      </c>
      <c r="O17" s="577">
        <v>0</v>
      </c>
      <c r="P17" s="577">
        <v>0</v>
      </c>
      <c r="Q17" s="577">
        <v>0</v>
      </c>
      <c r="R17" s="577">
        <v>0</v>
      </c>
      <c r="S17" s="577">
        <v>0</v>
      </c>
      <c r="T17" s="577">
        <v>0</v>
      </c>
      <c r="U17" s="577">
        <v>0</v>
      </c>
      <c r="V17" s="577">
        <v>0</v>
      </c>
      <c r="W17" s="577">
        <v>0</v>
      </c>
      <c r="X17" s="577">
        <v>0</v>
      </c>
      <c r="Y17" s="577">
        <v>0</v>
      </c>
      <c r="Z17" s="577">
        <v>0</v>
      </c>
    </row>
    <row r="18" spans="1:26" outlineLevel="2">
      <c r="A18" s="817"/>
      <c r="B18" s="818"/>
      <c r="C18" s="818"/>
      <c r="D18" s="64">
        <v>3</v>
      </c>
      <c r="E18" s="61">
        <f t="shared" si="4"/>
        <v>0</v>
      </c>
      <c r="F18" s="577">
        <v>0</v>
      </c>
      <c r="G18" s="577">
        <v>0</v>
      </c>
      <c r="H18" s="577">
        <v>0</v>
      </c>
      <c r="I18" s="577">
        <v>0</v>
      </c>
      <c r="J18" s="577">
        <v>0</v>
      </c>
      <c r="K18" s="577">
        <v>0</v>
      </c>
      <c r="L18" s="577">
        <v>0</v>
      </c>
      <c r="M18" s="577">
        <v>0</v>
      </c>
      <c r="N18" s="577">
        <v>0</v>
      </c>
      <c r="O18" s="577">
        <v>0</v>
      </c>
      <c r="P18" s="577">
        <v>0</v>
      </c>
      <c r="Q18" s="577">
        <v>0</v>
      </c>
      <c r="R18" s="577">
        <v>0</v>
      </c>
      <c r="S18" s="577">
        <v>0</v>
      </c>
      <c r="T18" s="577">
        <v>0</v>
      </c>
      <c r="U18" s="577">
        <v>0</v>
      </c>
      <c r="V18" s="577">
        <v>0</v>
      </c>
      <c r="W18" s="577">
        <v>0</v>
      </c>
      <c r="X18" s="577">
        <v>0</v>
      </c>
      <c r="Y18" s="577">
        <v>0</v>
      </c>
      <c r="Z18" s="577">
        <v>0</v>
      </c>
    </row>
    <row r="19" spans="1:26" outlineLevel="2">
      <c r="A19" s="817"/>
      <c r="B19" s="818"/>
      <c r="C19" s="818"/>
      <c r="D19" s="64">
        <v>4</v>
      </c>
      <c r="E19" s="61">
        <f t="shared" si="4"/>
        <v>0</v>
      </c>
      <c r="F19" s="577">
        <v>0</v>
      </c>
      <c r="G19" s="577">
        <v>0</v>
      </c>
      <c r="H19" s="577">
        <v>0</v>
      </c>
      <c r="I19" s="577">
        <v>0</v>
      </c>
      <c r="J19" s="577">
        <v>0</v>
      </c>
      <c r="K19" s="577">
        <v>0</v>
      </c>
      <c r="L19" s="577">
        <v>0</v>
      </c>
      <c r="M19" s="577">
        <v>0</v>
      </c>
      <c r="N19" s="577">
        <v>0</v>
      </c>
      <c r="O19" s="577">
        <v>0</v>
      </c>
      <c r="P19" s="577">
        <v>0</v>
      </c>
      <c r="Q19" s="577">
        <v>0</v>
      </c>
      <c r="R19" s="577">
        <v>0</v>
      </c>
      <c r="S19" s="577">
        <v>0</v>
      </c>
      <c r="T19" s="577">
        <v>0</v>
      </c>
      <c r="U19" s="577">
        <v>0</v>
      </c>
      <c r="V19" s="577">
        <v>0</v>
      </c>
      <c r="W19" s="577">
        <v>0</v>
      </c>
      <c r="X19" s="577">
        <v>0</v>
      </c>
      <c r="Y19" s="577">
        <v>0</v>
      </c>
      <c r="Z19" s="577">
        <v>0</v>
      </c>
    </row>
    <row r="20" spans="1:26" outlineLevel="2">
      <c r="A20" s="817"/>
      <c r="B20" s="818"/>
      <c r="C20" s="818"/>
      <c r="D20" s="64">
        <v>5</v>
      </c>
      <c r="E20" s="61">
        <f t="shared" si="4"/>
        <v>0</v>
      </c>
      <c r="F20" s="577">
        <v>0</v>
      </c>
      <c r="G20" s="577">
        <v>0</v>
      </c>
      <c r="H20" s="577">
        <v>0</v>
      </c>
      <c r="I20" s="577">
        <v>0</v>
      </c>
      <c r="J20" s="577">
        <v>0</v>
      </c>
      <c r="K20" s="577">
        <v>0</v>
      </c>
      <c r="L20" s="577">
        <v>0</v>
      </c>
      <c r="M20" s="577">
        <v>0</v>
      </c>
      <c r="N20" s="577">
        <v>0</v>
      </c>
      <c r="O20" s="577">
        <v>0</v>
      </c>
      <c r="P20" s="577">
        <v>0</v>
      </c>
      <c r="Q20" s="577">
        <v>0</v>
      </c>
      <c r="R20" s="577">
        <v>0</v>
      </c>
      <c r="S20" s="577">
        <v>0</v>
      </c>
      <c r="T20" s="577">
        <v>0</v>
      </c>
      <c r="U20" s="577">
        <v>0</v>
      </c>
      <c r="V20" s="577">
        <v>0</v>
      </c>
      <c r="W20" s="577">
        <v>0</v>
      </c>
      <c r="X20" s="577">
        <v>0</v>
      </c>
      <c r="Y20" s="577">
        <v>0</v>
      </c>
      <c r="Z20" s="577">
        <v>0</v>
      </c>
    </row>
    <row r="21" spans="1:26" outlineLevel="2">
      <c r="A21" s="817"/>
      <c r="B21" s="818"/>
      <c r="C21" s="818"/>
      <c r="D21" s="64">
        <v>6</v>
      </c>
      <c r="E21" s="61">
        <f t="shared" si="4"/>
        <v>0</v>
      </c>
      <c r="F21" s="577">
        <v>0</v>
      </c>
      <c r="G21" s="577">
        <v>0</v>
      </c>
      <c r="H21" s="577">
        <v>0</v>
      </c>
      <c r="I21" s="577">
        <v>0</v>
      </c>
      <c r="J21" s="577">
        <v>0</v>
      </c>
      <c r="K21" s="577">
        <v>0</v>
      </c>
      <c r="L21" s="577">
        <v>0</v>
      </c>
      <c r="M21" s="577">
        <v>0</v>
      </c>
      <c r="N21" s="577">
        <v>0</v>
      </c>
      <c r="O21" s="577">
        <v>0</v>
      </c>
      <c r="P21" s="577">
        <v>0</v>
      </c>
      <c r="Q21" s="577">
        <v>0</v>
      </c>
      <c r="R21" s="577">
        <v>0</v>
      </c>
      <c r="S21" s="577">
        <v>0</v>
      </c>
      <c r="T21" s="577">
        <v>0</v>
      </c>
      <c r="U21" s="577">
        <v>0</v>
      </c>
      <c r="V21" s="577">
        <v>0</v>
      </c>
      <c r="W21" s="577">
        <v>0</v>
      </c>
      <c r="X21" s="577">
        <v>0</v>
      </c>
      <c r="Y21" s="577">
        <v>0</v>
      </c>
      <c r="Z21" s="577">
        <v>0</v>
      </c>
    </row>
    <row r="22" spans="1:26" outlineLevel="2">
      <c r="A22" s="817"/>
      <c r="B22" s="818"/>
      <c r="C22" s="818"/>
      <c r="D22" s="64">
        <v>7</v>
      </c>
      <c r="E22" s="61">
        <f t="shared" si="4"/>
        <v>0</v>
      </c>
      <c r="F22" s="577">
        <v>0</v>
      </c>
      <c r="G22" s="577">
        <v>0</v>
      </c>
      <c r="H22" s="577">
        <v>0</v>
      </c>
      <c r="I22" s="577">
        <v>0</v>
      </c>
      <c r="J22" s="577">
        <v>0</v>
      </c>
      <c r="K22" s="577">
        <v>0</v>
      </c>
      <c r="L22" s="577">
        <v>0</v>
      </c>
      <c r="M22" s="577">
        <v>0</v>
      </c>
      <c r="N22" s="577">
        <v>0</v>
      </c>
      <c r="O22" s="577">
        <v>0</v>
      </c>
      <c r="P22" s="577">
        <v>0</v>
      </c>
      <c r="Q22" s="577">
        <v>0</v>
      </c>
      <c r="R22" s="577">
        <v>0</v>
      </c>
      <c r="S22" s="577">
        <v>0</v>
      </c>
      <c r="T22" s="577">
        <v>0</v>
      </c>
      <c r="U22" s="577">
        <v>0</v>
      </c>
      <c r="V22" s="577">
        <v>0</v>
      </c>
      <c r="W22" s="577">
        <v>0</v>
      </c>
      <c r="X22" s="577">
        <v>0</v>
      </c>
      <c r="Y22" s="577">
        <v>0</v>
      </c>
      <c r="Z22" s="577">
        <v>0</v>
      </c>
    </row>
    <row r="23" spans="1:26" outlineLevel="2">
      <c r="A23" s="817"/>
      <c r="B23" s="818"/>
      <c r="C23" s="818"/>
      <c r="D23" s="64">
        <v>8</v>
      </c>
      <c r="E23" s="61">
        <f t="shared" si="4"/>
        <v>0</v>
      </c>
      <c r="F23" s="577">
        <v>0</v>
      </c>
      <c r="G23" s="577">
        <v>0</v>
      </c>
      <c r="H23" s="577">
        <v>0</v>
      </c>
      <c r="I23" s="577">
        <v>0</v>
      </c>
      <c r="J23" s="577">
        <v>0</v>
      </c>
      <c r="K23" s="577">
        <v>0</v>
      </c>
      <c r="L23" s="577">
        <v>0</v>
      </c>
      <c r="M23" s="577">
        <v>0</v>
      </c>
      <c r="N23" s="577">
        <v>0</v>
      </c>
      <c r="O23" s="577">
        <v>0</v>
      </c>
      <c r="P23" s="577">
        <v>0</v>
      </c>
      <c r="Q23" s="577">
        <v>0</v>
      </c>
      <c r="R23" s="577">
        <v>0</v>
      </c>
      <c r="S23" s="577">
        <v>0</v>
      </c>
      <c r="T23" s="577">
        <v>0</v>
      </c>
      <c r="U23" s="577">
        <v>0</v>
      </c>
      <c r="V23" s="577">
        <v>0</v>
      </c>
      <c r="W23" s="577">
        <v>0</v>
      </c>
      <c r="X23" s="577">
        <v>0</v>
      </c>
      <c r="Y23" s="577">
        <v>0</v>
      </c>
      <c r="Z23" s="577">
        <v>0</v>
      </c>
    </row>
    <row r="24" spans="1:26" outlineLevel="2">
      <c r="A24" s="817"/>
      <c r="B24" s="818"/>
      <c r="C24" s="818"/>
      <c r="D24" s="64">
        <v>9</v>
      </c>
      <c r="E24" s="61">
        <f t="shared" si="4"/>
        <v>0</v>
      </c>
      <c r="F24" s="577">
        <v>0</v>
      </c>
      <c r="G24" s="577">
        <v>0</v>
      </c>
      <c r="H24" s="577">
        <v>0</v>
      </c>
      <c r="I24" s="577">
        <v>0</v>
      </c>
      <c r="J24" s="577">
        <v>0</v>
      </c>
      <c r="K24" s="577">
        <v>0</v>
      </c>
      <c r="L24" s="577">
        <v>0</v>
      </c>
      <c r="M24" s="577">
        <v>0</v>
      </c>
      <c r="N24" s="577">
        <v>0</v>
      </c>
      <c r="O24" s="577">
        <v>0</v>
      </c>
      <c r="P24" s="577">
        <v>0</v>
      </c>
      <c r="Q24" s="577">
        <v>0</v>
      </c>
      <c r="R24" s="577">
        <v>0</v>
      </c>
      <c r="S24" s="577">
        <v>0</v>
      </c>
      <c r="T24" s="577">
        <v>0</v>
      </c>
      <c r="U24" s="577">
        <v>0</v>
      </c>
      <c r="V24" s="577">
        <v>0</v>
      </c>
      <c r="W24" s="577">
        <v>0</v>
      </c>
      <c r="X24" s="577">
        <v>0</v>
      </c>
      <c r="Y24" s="577">
        <v>0</v>
      </c>
      <c r="Z24" s="577">
        <v>0</v>
      </c>
    </row>
    <row r="25" spans="1:26" ht="15.75" outlineLevel="2" thickBot="1">
      <c r="A25" s="817"/>
      <c r="B25" s="818"/>
      <c r="C25" s="818"/>
      <c r="D25" s="65">
        <v>10</v>
      </c>
      <c r="E25" s="61">
        <f t="shared" si="4"/>
        <v>0</v>
      </c>
      <c r="F25" s="577">
        <v>0</v>
      </c>
      <c r="G25" s="577">
        <v>0</v>
      </c>
      <c r="H25" s="577">
        <v>0</v>
      </c>
      <c r="I25" s="577">
        <v>0</v>
      </c>
      <c r="J25" s="577">
        <v>0</v>
      </c>
      <c r="K25" s="577">
        <v>0</v>
      </c>
      <c r="L25" s="577">
        <v>0</v>
      </c>
      <c r="M25" s="577">
        <v>0</v>
      </c>
      <c r="N25" s="577">
        <v>0</v>
      </c>
      <c r="O25" s="577">
        <v>0</v>
      </c>
      <c r="P25" s="577">
        <v>0</v>
      </c>
      <c r="Q25" s="577">
        <v>0</v>
      </c>
      <c r="R25" s="577">
        <v>0</v>
      </c>
      <c r="S25" s="577">
        <v>0</v>
      </c>
      <c r="T25" s="577">
        <v>0</v>
      </c>
      <c r="U25" s="577">
        <v>0</v>
      </c>
      <c r="V25" s="577">
        <v>0</v>
      </c>
      <c r="W25" s="577">
        <v>0</v>
      </c>
      <c r="X25" s="577">
        <v>0</v>
      </c>
      <c r="Y25" s="577">
        <v>0</v>
      </c>
      <c r="Z25" s="577">
        <v>0</v>
      </c>
    </row>
    <row r="26" spans="1:26" outlineLevel="2">
      <c r="A26" s="817" t="s">
        <v>1516</v>
      </c>
      <c r="B26" s="818" t="s">
        <v>1506</v>
      </c>
      <c r="C26" s="818">
        <v>633013</v>
      </c>
      <c r="D26" s="63">
        <v>1</v>
      </c>
      <c r="E26" s="60">
        <f t="shared" si="4"/>
        <v>0</v>
      </c>
      <c r="F26" s="578">
        <v>0</v>
      </c>
      <c r="G26" s="578">
        <v>0</v>
      </c>
      <c r="H26" s="578">
        <v>0</v>
      </c>
      <c r="I26" s="578">
        <v>0</v>
      </c>
      <c r="J26" s="578">
        <v>0</v>
      </c>
      <c r="K26" s="578">
        <v>0</v>
      </c>
      <c r="L26" s="578">
        <v>0</v>
      </c>
      <c r="M26" s="578">
        <v>0</v>
      </c>
      <c r="N26" s="578">
        <v>0</v>
      </c>
      <c r="O26" s="578">
        <v>0</v>
      </c>
      <c r="P26" s="578">
        <v>0</v>
      </c>
      <c r="Q26" s="578">
        <v>0</v>
      </c>
      <c r="R26" s="578">
        <v>0</v>
      </c>
      <c r="S26" s="578">
        <v>0</v>
      </c>
      <c r="T26" s="578">
        <v>0</v>
      </c>
      <c r="U26" s="578">
        <v>0</v>
      </c>
      <c r="V26" s="578">
        <v>0</v>
      </c>
      <c r="W26" s="578">
        <v>0</v>
      </c>
      <c r="X26" s="578">
        <v>0</v>
      </c>
      <c r="Y26" s="578">
        <v>0</v>
      </c>
      <c r="Z26" s="578">
        <v>0</v>
      </c>
    </row>
    <row r="27" spans="1:26" outlineLevel="2">
      <c r="A27" s="817"/>
      <c r="B27" s="818"/>
      <c r="C27" s="818"/>
      <c r="D27" s="64">
        <v>2</v>
      </c>
      <c r="E27" s="61">
        <f t="shared" si="4"/>
        <v>0</v>
      </c>
      <c r="F27" s="579">
        <v>0</v>
      </c>
      <c r="G27" s="579">
        <v>0</v>
      </c>
      <c r="H27" s="579">
        <v>0</v>
      </c>
      <c r="I27" s="579">
        <v>0</v>
      </c>
      <c r="J27" s="579">
        <v>0</v>
      </c>
      <c r="K27" s="579">
        <v>0</v>
      </c>
      <c r="L27" s="579">
        <v>0</v>
      </c>
      <c r="M27" s="579">
        <v>0</v>
      </c>
      <c r="N27" s="579">
        <v>0</v>
      </c>
      <c r="O27" s="579">
        <v>0</v>
      </c>
      <c r="P27" s="579">
        <v>0</v>
      </c>
      <c r="Q27" s="579">
        <v>0</v>
      </c>
      <c r="R27" s="579">
        <v>0</v>
      </c>
      <c r="S27" s="579">
        <v>0</v>
      </c>
      <c r="T27" s="579">
        <v>0</v>
      </c>
      <c r="U27" s="579">
        <v>0</v>
      </c>
      <c r="V27" s="579">
        <v>0</v>
      </c>
      <c r="W27" s="579">
        <v>0</v>
      </c>
      <c r="X27" s="579">
        <v>0</v>
      </c>
      <c r="Y27" s="579">
        <v>0</v>
      </c>
      <c r="Z27" s="579">
        <v>0</v>
      </c>
    </row>
    <row r="28" spans="1:26" outlineLevel="2">
      <c r="A28" s="817"/>
      <c r="B28" s="818"/>
      <c r="C28" s="818"/>
      <c r="D28" s="64">
        <v>3</v>
      </c>
      <c r="E28" s="61">
        <f t="shared" si="4"/>
        <v>0</v>
      </c>
      <c r="F28" s="579">
        <v>0</v>
      </c>
      <c r="G28" s="579">
        <v>0</v>
      </c>
      <c r="H28" s="579">
        <v>0</v>
      </c>
      <c r="I28" s="579">
        <v>0</v>
      </c>
      <c r="J28" s="579">
        <v>0</v>
      </c>
      <c r="K28" s="579">
        <v>0</v>
      </c>
      <c r="L28" s="579">
        <v>0</v>
      </c>
      <c r="M28" s="579">
        <v>0</v>
      </c>
      <c r="N28" s="579">
        <v>0</v>
      </c>
      <c r="O28" s="579">
        <v>0</v>
      </c>
      <c r="P28" s="579">
        <v>0</v>
      </c>
      <c r="Q28" s="579">
        <v>0</v>
      </c>
      <c r="R28" s="579">
        <v>0</v>
      </c>
      <c r="S28" s="579">
        <v>0</v>
      </c>
      <c r="T28" s="579">
        <v>0</v>
      </c>
      <c r="U28" s="579">
        <v>0</v>
      </c>
      <c r="V28" s="579">
        <v>0</v>
      </c>
      <c r="W28" s="579">
        <v>0</v>
      </c>
      <c r="X28" s="579">
        <v>0</v>
      </c>
      <c r="Y28" s="579">
        <v>0</v>
      </c>
      <c r="Z28" s="579">
        <v>0</v>
      </c>
    </row>
    <row r="29" spans="1:26" outlineLevel="2">
      <c r="A29" s="817"/>
      <c r="B29" s="818"/>
      <c r="C29" s="818"/>
      <c r="D29" s="64">
        <v>4</v>
      </c>
      <c r="E29" s="61">
        <f t="shared" si="4"/>
        <v>0</v>
      </c>
      <c r="F29" s="579">
        <v>0</v>
      </c>
      <c r="G29" s="579">
        <v>0</v>
      </c>
      <c r="H29" s="579">
        <v>0</v>
      </c>
      <c r="I29" s="579">
        <v>0</v>
      </c>
      <c r="J29" s="579">
        <v>0</v>
      </c>
      <c r="K29" s="579">
        <v>0</v>
      </c>
      <c r="L29" s="579">
        <v>0</v>
      </c>
      <c r="M29" s="579">
        <v>0</v>
      </c>
      <c r="N29" s="579">
        <v>0</v>
      </c>
      <c r="O29" s="579">
        <v>0</v>
      </c>
      <c r="P29" s="579">
        <v>0</v>
      </c>
      <c r="Q29" s="579">
        <v>0</v>
      </c>
      <c r="R29" s="579">
        <v>0</v>
      </c>
      <c r="S29" s="579">
        <v>0</v>
      </c>
      <c r="T29" s="579">
        <v>0</v>
      </c>
      <c r="U29" s="579">
        <v>0</v>
      </c>
      <c r="V29" s="579">
        <v>0</v>
      </c>
      <c r="W29" s="579">
        <v>0</v>
      </c>
      <c r="X29" s="579">
        <v>0</v>
      </c>
      <c r="Y29" s="579">
        <v>0</v>
      </c>
      <c r="Z29" s="579">
        <v>0</v>
      </c>
    </row>
    <row r="30" spans="1:26" outlineLevel="2">
      <c r="A30" s="817"/>
      <c r="B30" s="818"/>
      <c r="C30" s="818"/>
      <c r="D30" s="64">
        <v>5</v>
      </c>
      <c r="E30" s="61">
        <f t="shared" si="4"/>
        <v>0</v>
      </c>
      <c r="F30" s="579">
        <v>0</v>
      </c>
      <c r="G30" s="579">
        <v>0</v>
      </c>
      <c r="H30" s="579">
        <v>0</v>
      </c>
      <c r="I30" s="579">
        <v>0</v>
      </c>
      <c r="J30" s="579">
        <v>0</v>
      </c>
      <c r="K30" s="579">
        <v>0</v>
      </c>
      <c r="L30" s="579">
        <v>0</v>
      </c>
      <c r="M30" s="579">
        <v>0</v>
      </c>
      <c r="N30" s="579">
        <v>0</v>
      </c>
      <c r="O30" s="579">
        <v>0</v>
      </c>
      <c r="P30" s="579">
        <v>0</v>
      </c>
      <c r="Q30" s="579">
        <v>0</v>
      </c>
      <c r="R30" s="579">
        <v>0</v>
      </c>
      <c r="S30" s="579">
        <v>0</v>
      </c>
      <c r="T30" s="579">
        <v>0</v>
      </c>
      <c r="U30" s="579">
        <v>0</v>
      </c>
      <c r="V30" s="579">
        <v>0</v>
      </c>
      <c r="W30" s="579">
        <v>0</v>
      </c>
      <c r="X30" s="579">
        <v>0</v>
      </c>
      <c r="Y30" s="579">
        <v>0</v>
      </c>
      <c r="Z30" s="579">
        <v>0</v>
      </c>
    </row>
    <row r="31" spans="1:26" outlineLevel="2">
      <c r="A31" s="817"/>
      <c r="B31" s="818"/>
      <c r="C31" s="818"/>
      <c r="D31" s="64">
        <v>6</v>
      </c>
      <c r="E31" s="61">
        <f t="shared" si="4"/>
        <v>0</v>
      </c>
      <c r="F31" s="579">
        <v>0</v>
      </c>
      <c r="G31" s="579">
        <v>0</v>
      </c>
      <c r="H31" s="579">
        <v>0</v>
      </c>
      <c r="I31" s="579">
        <v>0</v>
      </c>
      <c r="J31" s="579">
        <v>0</v>
      </c>
      <c r="K31" s="579">
        <v>0</v>
      </c>
      <c r="L31" s="579">
        <v>0</v>
      </c>
      <c r="M31" s="579">
        <v>0</v>
      </c>
      <c r="N31" s="579">
        <v>0</v>
      </c>
      <c r="O31" s="579">
        <v>0</v>
      </c>
      <c r="P31" s="579">
        <v>0</v>
      </c>
      <c r="Q31" s="579">
        <v>0</v>
      </c>
      <c r="R31" s="579">
        <v>0</v>
      </c>
      <c r="S31" s="579">
        <v>0</v>
      </c>
      <c r="T31" s="579">
        <v>0</v>
      </c>
      <c r="U31" s="579">
        <v>0</v>
      </c>
      <c r="V31" s="579">
        <v>0</v>
      </c>
      <c r="W31" s="579">
        <v>0</v>
      </c>
      <c r="X31" s="579">
        <v>0</v>
      </c>
      <c r="Y31" s="579">
        <v>0</v>
      </c>
      <c r="Z31" s="579">
        <v>0</v>
      </c>
    </row>
    <row r="32" spans="1:26" outlineLevel="2">
      <c r="A32" s="817"/>
      <c r="B32" s="818"/>
      <c r="C32" s="818"/>
      <c r="D32" s="64">
        <v>7</v>
      </c>
      <c r="E32" s="61">
        <f t="shared" si="4"/>
        <v>0</v>
      </c>
      <c r="F32" s="579">
        <v>0</v>
      </c>
      <c r="G32" s="579">
        <v>0</v>
      </c>
      <c r="H32" s="579">
        <v>0</v>
      </c>
      <c r="I32" s="579">
        <v>0</v>
      </c>
      <c r="J32" s="579">
        <v>0</v>
      </c>
      <c r="K32" s="579">
        <v>0</v>
      </c>
      <c r="L32" s="579">
        <v>0</v>
      </c>
      <c r="M32" s="579">
        <v>0</v>
      </c>
      <c r="N32" s="579">
        <v>0</v>
      </c>
      <c r="O32" s="579">
        <v>0</v>
      </c>
      <c r="P32" s="579">
        <v>0</v>
      </c>
      <c r="Q32" s="579">
        <v>0</v>
      </c>
      <c r="R32" s="579">
        <v>0</v>
      </c>
      <c r="S32" s="579">
        <v>0</v>
      </c>
      <c r="T32" s="579">
        <v>0</v>
      </c>
      <c r="U32" s="579">
        <v>0</v>
      </c>
      <c r="V32" s="579">
        <v>0</v>
      </c>
      <c r="W32" s="579">
        <v>0</v>
      </c>
      <c r="X32" s="579">
        <v>0</v>
      </c>
      <c r="Y32" s="579">
        <v>0</v>
      </c>
      <c r="Z32" s="579">
        <v>0</v>
      </c>
    </row>
    <row r="33" spans="1:26" outlineLevel="2">
      <c r="A33" s="817"/>
      <c r="B33" s="818"/>
      <c r="C33" s="818"/>
      <c r="D33" s="64">
        <v>8</v>
      </c>
      <c r="E33" s="61">
        <f t="shared" si="4"/>
        <v>0</v>
      </c>
      <c r="F33" s="579">
        <v>0</v>
      </c>
      <c r="G33" s="579">
        <v>0</v>
      </c>
      <c r="H33" s="579">
        <v>0</v>
      </c>
      <c r="I33" s="579">
        <v>0</v>
      </c>
      <c r="J33" s="579">
        <v>0</v>
      </c>
      <c r="K33" s="579">
        <v>0</v>
      </c>
      <c r="L33" s="579">
        <v>0</v>
      </c>
      <c r="M33" s="579">
        <v>0</v>
      </c>
      <c r="N33" s="579">
        <v>0</v>
      </c>
      <c r="O33" s="579">
        <v>0</v>
      </c>
      <c r="P33" s="579">
        <v>0</v>
      </c>
      <c r="Q33" s="579">
        <v>0</v>
      </c>
      <c r="R33" s="579">
        <v>0</v>
      </c>
      <c r="S33" s="579">
        <v>0</v>
      </c>
      <c r="T33" s="579">
        <v>0</v>
      </c>
      <c r="U33" s="579">
        <v>0</v>
      </c>
      <c r="V33" s="579">
        <v>0</v>
      </c>
      <c r="W33" s="579">
        <v>0</v>
      </c>
      <c r="X33" s="579">
        <v>0</v>
      </c>
      <c r="Y33" s="579">
        <v>0</v>
      </c>
      <c r="Z33" s="579">
        <v>0</v>
      </c>
    </row>
    <row r="34" spans="1:26" outlineLevel="2">
      <c r="A34" s="817"/>
      <c r="B34" s="818"/>
      <c r="C34" s="818"/>
      <c r="D34" s="64">
        <v>9</v>
      </c>
      <c r="E34" s="61">
        <f t="shared" si="4"/>
        <v>0</v>
      </c>
      <c r="F34" s="579">
        <v>0</v>
      </c>
      <c r="G34" s="579">
        <v>0</v>
      </c>
      <c r="H34" s="579">
        <v>0</v>
      </c>
      <c r="I34" s="579">
        <v>0</v>
      </c>
      <c r="J34" s="579">
        <v>0</v>
      </c>
      <c r="K34" s="579">
        <v>0</v>
      </c>
      <c r="L34" s="579">
        <v>0</v>
      </c>
      <c r="M34" s="579">
        <v>0</v>
      </c>
      <c r="N34" s="579">
        <v>0</v>
      </c>
      <c r="O34" s="579">
        <v>0</v>
      </c>
      <c r="P34" s="579">
        <v>0</v>
      </c>
      <c r="Q34" s="579">
        <v>0</v>
      </c>
      <c r="R34" s="579">
        <v>0</v>
      </c>
      <c r="S34" s="579">
        <v>0</v>
      </c>
      <c r="T34" s="579">
        <v>0</v>
      </c>
      <c r="U34" s="579">
        <v>0</v>
      </c>
      <c r="V34" s="579">
        <v>0</v>
      </c>
      <c r="W34" s="579">
        <v>0</v>
      </c>
      <c r="X34" s="579">
        <v>0</v>
      </c>
      <c r="Y34" s="579">
        <v>0</v>
      </c>
      <c r="Z34" s="579">
        <v>0</v>
      </c>
    </row>
    <row r="35" spans="1:26" ht="15.75" outlineLevel="2" thickBot="1">
      <c r="A35" s="817"/>
      <c r="B35" s="818"/>
      <c r="C35" s="818"/>
      <c r="D35" s="65">
        <v>10</v>
      </c>
      <c r="E35" s="62">
        <f t="shared" si="4"/>
        <v>0</v>
      </c>
      <c r="F35" s="580">
        <v>0</v>
      </c>
      <c r="G35" s="580">
        <v>0</v>
      </c>
      <c r="H35" s="580">
        <v>0</v>
      </c>
      <c r="I35" s="580">
        <v>0</v>
      </c>
      <c r="J35" s="580">
        <v>0</v>
      </c>
      <c r="K35" s="580">
        <v>0</v>
      </c>
      <c r="L35" s="580">
        <v>0</v>
      </c>
      <c r="M35" s="580">
        <v>0</v>
      </c>
      <c r="N35" s="580">
        <v>0</v>
      </c>
      <c r="O35" s="580">
        <v>0</v>
      </c>
      <c r="P35" s="580">
        <v>0</v>
      </c>
      <c r="Q35" s="580">
        <v>0</v>
      </c>
      <c r="R35" s="580">
        <v>0</v>
      </c>
      <c r="S35" s="580">
        <v>0</v>
      </c>
      <c r="T35" s="580">
        <v>0</v>
      </c>
      <c r="U35" s="580">
        <v>0</v>
      </c>
      <c r="V35" s="580">
        <v>0</v>
      </c>
      <c r="W35" s="580">
        <v>0</v>
      </c>
      <c r="X35" s="580">
        <v>0</v>
      </c>
      <c r="Y35" s="580">
        <v>0</v>
      </c>
      <c r="Z35" s="580">
        <v>0</v>
      </c>
    </row>
    <row r="36" spans="1:26" ht="15.75" outlineLevel="1" thickBot="1">
      <c r="A36" s="17" t="s">
        <v>101</v>
      </c>
      <c r="B36" s="17"/>
      <c r="C36" s="17"/>
      <c r="D36" s="27"/>
      <c r="E36" s="111">
        <f t="shared" ref="E36:Z36" si="5">SUM(E37:E76)</f>
        <v>22058714.549999997</v>
      </c>
      <c r="F36" s="112">
        <f t="shared" si="5"/>
        <v>3821922.0363172945</v>
      </c>
      <c r="G36" s="112">
        <f t="shared" si="5"/>
        <v>270127.51181839185</v>
      </c>
      <c r="H36" s="112">
        <f t="shared" si="5"/>
        <v>263756.57993588265</v>
      </c>
      <c r="I36" s="112">
        <f t="shared" si="5"/>
        <v>157999.11068622919</v>
      </c>
      <c r="J36" s="112">
        <f t="shared" si="5"/>
        <v>263756.57993588265</v>
      </c>
      <c r="K36" s="112">
        <f t="shared" si="5"/>
        <v>52878.734624826699</v>
      </c>
      <c r="L36" s="112">
        <f t="shared" si="5"/>
        <v>6109723.6753263632</v>
      </c>
      <c r="M36" s="112">
        <f t="shared" si="5"/>
        <v>1225767.294194778</v>
      </c>
      <c r="N36" s="112">
        <f t="shared" si="5"/>
        <v>606512.71521487983</v>
      </c>
      <c r="O36" s="112">
        <f t="shared" si="5"/>
        <v>4976334.893427968</v>
      </c>
      <c r="P36" s="112">
        <f t="shared" si="5"/>
        <v>4309935.418517502</v>
      </c>
      <c r="Q36" s="112">
        <f t="shared" si="5"/>
        <v>0</v>
      </c>
      <c r="R36" s="112">
        <f t="shared" si="5"/>
        <v>0</v>
      </c>
      <c r="S36" s="112">
        <f t="shared" si="5"/>
        <v>0</v>
      </c>
      <c r="T36" s="112">
        <f t="shared" si="5"/>
        <v>0</v>
      </c>
      <c r="U36" s="112">
        <f t="shared" si="5"/>
        <v>0</v>
      </c>
      <c r="V36" s="112">
        <f t="shared" si="5"/>
        <v>0</v>
      </c>
      <c r="W36" s="112">
        <f t="shared" si="5"/>
        <v>0</v>
      </c>
      <c r="X36" s="112">
        <f t="shared" si="5"/>
        <v>0</v>
      </c>
      <c r="Y36" s="112">
        <f t="shared" si="5"/>
        <v>0</v>
      </c>
      <c r="Z36" s="112">
        <f t="shared" si="5"/>
        <v>0</v>
      </c>
    </row>
    <row r="37" spans="1:26" outlineLevel="2">
      <c r="A37" s="817" t="s">
        <v>1518</v>
      </c>
      <c r="B37" s="818" t="s">
        <v>1499</v>
      </c>
      <c r="C37" s="818">
        <v>711003</v>
      </c>
      <c r="D37" s="63">
        <v>1</v>
      </c>
      <c r="E37" s="67">
        <f t="shared" ref="E37:E76" si="6">SUM(F37:Z37)</f>
        <v>0</v>
      </c>
      <c r="F37" s="573">
        <f>IFERROR(IF(VLOOKUP(F$2,MODULY_CBA!$B$3:$I$23,8,0)=$D37,SUMIF('Rozpocet - Vyvoj aplikacii'!$B$3:$B$179,'TCO TO BE- SW'!F$2,'Rozpocet - Vyvoj aplikacii'!$J$3:$J$179),0),0)</f>
        <v>0</v>
      </c>
      <c r="G37" s="573">
        <f>IFERROR(IF(VLOOKUP(G$2,MODULY_CBA!$B$3:$I$23,8,0)=$D37,SUMIF('Rozpocet - Vyvoj aplikacii'!$B$3:$B$179,'TCO TO BE- SW'!G$2,'Rozpocet - Vyvoj aplikacii'!$J$3:$J$179),0),0)</f>
        <v>0</v>
      </c>
      <c r="H37" s="573">
        <f>IFERROR(IF(VLOOKUP(H$2,MODULY_CBA!$B$3:$I$23,8,0)=$D37,SUMIF('Rozpocet - Vyvoj aplikacii'!$B$3:$B$179,'TCO TO BE- SW'!H$2,'Rozpocet - Vyvoj aplikacii'!$J$3:$J$179),0),0)</f>
        <v>0</v>
      </c>
      <c r="I37" s="573">
        <f>IFERROR(IF(VLOOKUP(I$2,MODULY_CBA!$B$3:$I$23,8,0)=$D37,SUMIF('Rozpocet - Vyvoj aplikacii'!$B$3:$B$179,'TCO TO BE- SW'!I$2,'Rozpocet - Vyvoj aplikacii'!$J$3:$J$179),0),0)</f>
        <v>0</v>
      </c>
      <c r="J37" s="573">
        <f>IFERROR(IF(VLOOKUP(J$2,MODULY_CBA!$B$3:$I$23,8,0)=$D37,SUMIF('Rozpocet - Vyvoj aplikacii'!$B$3:$B$179,'TCO TO BE- SW'!J$2,'Rozpocet - Vyvoj aplikacii'!$J$3:$J$179),0),0)</f>
        <v>0</v>
      </c>
      <c r="K37" s="573">
        <f>IFERROR(IF(VLOOKUP(K$2,MODULY_CBA!$B$3:$I$23,8,0)=$D37,SUMIF('Rozpocet - Vyvoj aplikacii'!$B$3:$B$179,'TCO TO BE- SW'!K$2,'Rozpocet - Vyvoj aplikacii'!$J$3:$J$179),0),0)</f>
        <v>0</v>
      </c>
      <c r="L37" s="573">
        <f>IFERROR(IF(VLOOKUP(L$2,MODULY_CBA!$B$3:$I$23,8,0)=$D37,SUMIF('Rozpocet - Vyvoj aplikacii'!$B$3:$B$179,'TCO TO BE- SW'!L$2,'Rozpocet - Vyvoj aplikacii'!$J$3:$J$179),0),0)</f>
        <v>0</v>
      </c>
      <c r="M37" s="573">
        <f>IFERROR(IF(VLOOKUP(M$2,MODULY_CBA!$B$3:$I$23,8,0)=$D37,SUMIF('Rozpocet - Vyvoj aplikacii'!$B$3:$B$179,'TCO TO BE- SW'!M$2,'Rozpocet - Vyvoj aplikacii'!$J$3:$J$179),0),0)</f>
        <v>0</v>
      </c>
      <c r="N37" s="573">
        <f>IFERROR(IF(VLOOKUP(N$2,MODULY_CBA!$B$3:$I$23,8,0)=$D37,SUMIF('Rozpocet - Vyvoj aplikacii'!$B$3:$B$179,'TCO TO BE- SW'!N$2,'Rozpocet - Vyvoj aplikacii'!$J$3:$J$179),0),0)</f>
        <v>0</v>
      </c>
      <c r="O37" s="573">
        <f>IFERROR(IF(VLOOKUP(O$2,MODULY_CBA!$B$3:$I$23,8,0)=$D37,SUMIF('Rozpocet - Vyvoj aplikacii'!$B$3:$B$179,'TCO TO BE- SW'!O$2,'Rozpocet - Vyvoj aplikacii'!$J$3:$J$179),0),0)</f>
        <v>0</v>
      </c>
      <c r="P37" s="573">
        <f>IFERROR(IF(VLOOKUP(P$2,MODULY_CBA!$B$3:$I$23,8,0)=$D37,SUMIF('Rozpocet - Vyvoj aplikacii'!$B$3:$B$179,'TCO TO BE- SW'!P$2,'Rozpocet - Vyvoj aplikacii'!$J$3:$J$179),0),0)</f>
        <v>0</v>
      </c>
      <c r="Q37" s="573">
        <f>IFERROR(IF(VLOOKUP(Q$2,MODULY_CBA!$B$3:$I$23,8,0)=$D37,SUMIF('Rozpocet - Vyvoj aplikacii'!$B$3:$B$179,'TCO TO BE- SW'!Q$2,'Rozpocet - Vyvoj aplikacii'!$J$3:$J$179),0),0)</f>
        <v>0</v>
      </c>
      <c r="R37" s="573">
        <f>IFERROR(IF(VLOOKUP(R$2,MODULY_CBA!$B$3:$I$23,8,0)=$D37,SUMIF('Rozpocet - Vyvoj aplikacii'!$B$3:$B$179,'TCO TO BE- SW'!R$2,'Rozpocet - Vyvoj aplikacii'!$J$3:$J$179),0),0)</f>
        <v>0</v>
      </c>
      <c r="S37" s="573">
        <f>IFERROR(IF(VLOOKUP(S$2,MODULY_CBA!$B$3:$I$23,8,0)=$D37,SUMIF('Rozpocet - Vyvoj aplikacii'!$B$3:$B$179,'TCO TO BE- SW'!S$2,'Rozpocet - Vyvoj aplikacii'!$J$3:$J$179),0),0)</f>
        <v>0</v>
      </c>
      <c r="T37" s="573">
        <f>IFERROR(IF(VLOOKUP(T$2,MODULY_CBA!$B$3:$I$23,8,0)=$D37,SUMIF('Rozpocet - Vyvoj aplikacii'!$B$3:$B$179,'TCO TO BE- SW'!T$2,'Rozpocet - Vyvoj aplikacii'!$J$3:$J$179),0),0)</f>
        <v>0</v>
      </c>
      <c r="U37" s="573">
        <f>IFERROR(IF(VLOOKUP(U$2,MODULY_CBA!$B$3:$I$23,8,0)=$D37,SUMIF('Rozpocet - Vyvoj aplikacii'!$B$3:$B$179,'TCO TO BE- SW'!U$2,'Rozpocet - Vyvoj aplikacii'!$J$3:$J$179),0),0)</f>
        <v>0</v>
      </c>
      <c r="V37" s="573">
        <f>IFERROR(IF(VLOOKUP(V$2,MODULY_CBA!$B$3:$I$23,8,0)=$D37,SUMIF('Rozpocet - Vyvoj aplikacii'!$B$3:$B$179,'TCO TO BE- SW'!V$2,'Rozpocet - Vyvoj aplikacii'!$J$3:$J$179),0),0)</f>
        <v>0</v>
      </c>
      <c r="W37" s="573">
        <f>IFERROR(IF(VLOOKUP(W$2,MODULY_CBA!$B$3:$I$23,8,0)=$D37,SUMIF('Rozpocet - Vyvoj aplikacii'!$B$3:$B$179,'TCO TO BE- SW'!W$2,'Rozpocet - Vyvoj aplikacii'!$J$3:$J$179),0),0)</f>
        <v>0</v>
      </c>
      <c r="X37" s="573">
        <f>IFERROR(IF(VLOOKUP(X$2,MODULY_CBA!$B$3:$I$23,8,0)=$D37,SUMIF('Rozpocet - Vyvoj aplikacii'!$B$3:$B$179,'TCO TO BE- SW'!X$2,'Rozpocet - Vyvoj aplikacii'!$J$3:$J$179),0),0)</f>
        <v>0</v>
      </c>
      <c r="Y37" s="573">
        <f>IFERROR(IF(VLOOKUP(Y$2,MODULY_CBA!$B$3:$I$23,8,0)=$D37,SUMIF('Rozpocet - Vyvoj aplikacii'!$B$3:$B$179,'TCO TO BE- SW'!Y$2,'Rozpocet - Vyvoj aplikacii'!$J$3:$J$179),0),0)</f>
        <v>0</v>
      </c>
      <c r="Z37" s="573">
        <f>IFERROR(IF(VLOOKUP(Z$2,MODULY_CBA!$B$3:$I$23,8,0)=$D37,SUMIF('Rozpocet - Vyvoj aplikacii'!$B$3:$B$179,'TCO TO BE- SW'!Z$2,'Rozpocet - Vyvoj aplikacii'!$J$3:$J$179),0),0)</f>
        <v>0</v>
      </c>
    </row>
    <row r="38" spans="1:26" outlineLevel="2">
      <c r="A38" s="817"/>
      <c r="B38" s="818"/>
      <c r="C38" s="818"/>
      <c r="D38" s="64">
        <v>2</v>
      </c>
      <c r="E38" s="68">
        <f t="shared" si="6"/>
        <v>8134419.4922056943</v>
      </c>
      <c r="F38" s="574">
        <f>IFERROR(IF(VLOOKUP(F$2,MODULY_CBA!$B$3:$I$23,8,0)=$D38,SUMIF('Rozpocet - Vyvoj aplikacii'!$B$3:$B$179,'TCO TO BE- SW'!F$2,'Rozpocet - Vyvoj aplikacii'!$J$3:$J$179),0),0)</f>
        <v>3401295.2208644291</v>
      </c>
      <c r="G38" s="574">
        <f>IFERROR(IF(VLOOKUP(G$2,MODULY_CBA!$B$3:$I$23,8,0)=$D38,SUMIF('Rozpocet - Vyvoj aplikacii'!$B$3:$B$179,'TCO TO BE- SW'!G$2,'Rozpocet - Vyvoj aplikacii'!$J$3:$J$179),0),0)</f>
        <v>240398.26198475045</v>
      </c>
      <c r="H38" s="574">
        <f>IFERROR(IF(VLOOKUP(H$2,MODULY_CBA!$B$3:$I$23,8,0)=$D38,SUMIF('Rozpocet - Vyvoj aplikacii'!$B$3:$B$179,'TCO TO BE- SW'!H$2,'Rozpocet - Vyvoj aplikacii'!$J$3:$J$179),0),0)</f>
        <v>234728.49165492144</v>
      </c>
      <c r="I38" s="574">
        <f>IFERROR(IF(VLOOKUP(I$2,MODULY_CBA!$B$3:$I$23,8,0)=$D38,SUMIF('Rozpocet - Vyvoj aplikacii'!$B$3:$B$179,'TCO TO BE- SW'!I$2,'Rozpocet - Vyvoj aplikacii'!$J$3:$J$179),0),0)</f>
        <v>140610.3041797597</v>
      </c>
      <c r="J38" s="574">
        <f>IFERROR(IF(VLOOKUP(J$2,MODULY_CBA!$B$3:$I$23,8,0)=$D38,SUMIF('Rozpocet - Vyvoj aplikacii'!$B$3:$B$179,'TCO TO BE- SW'!J$2,'Rozpocet - Vyvoj aplikacii'!$J$3:$J$179),0),0)</f>
        <v>234728.49165492144</v>
      </c>
      <c r="K38" s="574">
        <f>IFERROR(IF(VLOOKUP(K$2,MODULY_CBA!$B$3:$I$23,8,0)=$D38,SUMIF('Rozpocet - Vyvoj aplikacii'!$B$3:$B$179,'TCO TO BE- SW'!K$2,'Rozpocet - Vyvoj aplikacii'!$J$3:$J$179),0),0)</f>
        <v>47059.093737580857</v>
      </c>
      <c r="L38" s="574">
        <f>IFERROR(IF(VLOOKUP(L$2,MODULY_CBA!$B$3:$I$23,8,0)=$D38,SUMIF('Rozpocet - Vyvoj aplikacii'!$B$3:$B$179,'TCO TO BE- SW'!L$2,'Rozpocet - Vyvoj aplikacii'!$J$3:$J$179),0),0)</f>
        <v>0</v>
      </c>
      <c r="M38" s="574">
        <f>IFERROR(IF(VLOOKUP(M$2,MODULY_CBA!$B$3:$I$23,8,0)=$D38,SUMIF('Rozpocet - Vyvoj aplikacii'!$B$3:$B$179,'TCO TO BE- SW'!M$2,'Rozpocet - Vyvoj aplikacii'!$J$3:$J$179),0),0)</f>
        <v>0</v>
      </c>
      <c r="N38" s="574">
        <f>IFERROR(IF(VLOOKUP(N$2,MODULY_CBA!$B$3:$I$23,8,0)=$D38,SUMIF('Rozpocet - Vyvoj aplikacii'!$B$3:$B$179,'TCO TO BE- SW'!N$2,'Rozpocet - Vyvoj aplikacii'!$J$3:$J$179),0),0)</f>
        <v>0</v>
      </c>
      <c r="O38" s="574">
        <f>IFERROR(IF(VLOOKUP(O$2,MODULY_CBA!$B$3:$I$23,8,0)=$D38,SUMIF('Rozpocet - Vyvoj aplikacii'!$B$3:$B$179,'TCO TO BE- SW'!O$2,'Rozpocet - Vyvoj aplikacii'!$J$3:$J$179),0),0)</f>
        <v>0</v>
      </c>
      <c r="P38" s="574">
        <f>IFERROR(IF(VLOOKUP(P$2,MODULY_CBA!$B$3:$I$23,8,0)=$D38,SUMIF('Rozpocet - Vyvoj aplikacii'!$B$3:$B$179,'TCO TO BE- SW'!P$2,'Rozpocet - Vyvoj aplikacii'!$J$3:$J$179),0),0)</f>
        <v>3835599.6281293319</v>
      </c>
      <c r="Q38" s="574">
        <f>IFERROR(IF(VLOOKUP(Q$2,MODULY_CBA!$B$3:$I$23,8,0)=$D38,SUMIF('Rozpocet - Vyvoj aplikacii'!$B$3:$B$179,'TCO TO BE- SW'!Q$2,'Rozpocet - Vyvoj aplikacii'!$J$3:$J$179),0),0)</f>
        <v>0</v>
      </c>
      <c r="R38" s="574">
        <f>IFERROR(IF(VLOOKUP(R$2,MODULY_CBA!$B$3:$I$23,8,0)=$D38,SUMIF('Rozpocet - Vyvoj aplikacii'!$B$3:$B$179,'TCO TO BE- SW'!R$2,'Rozpocet - Vyvoj aplikacii'!$J$3:$J$179),0),0)</f>
        <v>0</v>
      </c>
      <c r="S38" s="574">
        <f>IFERROR(IF(VLOOKUP(S$2,MODULY_CBA!$B$3:$I$23,8,0)=$D38,SUMIF('Rozpocet - Vyvoj aplikacii'!$B$3:$B$179,'TCO TO BE- SW'!S$2,'Rozpocet - Vyvoj aplikacii'!$J$3:$J$179),0),0)</f>
        <v>0</v>
      </c>
      <c r="T38" s="574">
        <f>IFERROR(IF(VLOOKUP(T$2,MODULY_CBA!$B$3:$I$23,8,0)=$D38,SUMIF('Rozpocet - Vyvoj aplikacii'!$B$3:$B$179,'TCO TO BE- SW'!T$2,'Rozpocet - Vyvoj aplikacii'!$J$3:$J$179),0),0)</f>
        <v>0</v>
      </c>
      <c r="U38" s="574">
        <f>IFERROR(IF(VLOOKUP(U$2,MODULY_CBA!$B$3:$I$23,8,0)=$D38,SUMIF('Rozpocet - Vyvoj aplikacii'!$B$3:$B$179,'TCO TO BE- SW'!U$2,'Rozpocet - Vyvoj aplikacii'!$J$3:$J$179),0),0)</f>
        <v>0</v>
      </c>
      <c r="V38" s="574">
        <f>IFERROR(IF(VLOOKUP(V$2,MODULY_CBA!$B$3:$I$23,8,0)=$D38,SUMIF('Rozpocet - Vyvoj aplikacii'!$B$3:$B$179,'TCO TO BE- SW'!V$2,'Rozpocet - Vyvoj aplikacii'!$J$3:$J$179),0),0)</f>
        <v>0</v>
      </c>
      <c r="W38" s="574">
        <f>IFERROR(IF(VLOOKUP(W$2,MODULY_CBA!$B$3:$I$23,8,0)=$D38,SUMIF('Rozpocet - Vyvoj aplikacii'!$B$3:$B$179,'TCO TO BE- SW'!W$2,'Rozpocet - Vyvoj aplikacii'!$J$3:$J$179),0),0)</f>
        <v>0</v>
      </c>
      <c r="X38" s="574">
        <f>IFERROR(IF(VLOOKUP(X$2,MODULY_CBA!$B$3:$I$23,8,0)=$D38,SUMIF('Rozpocet - Vyvoj aplikacii'!$B$3:$B$179,'TCO TO BE- SW'!X$2,'Rozpocet - Vyvoj aplikacii'!$J$3:$J$179),0),0)</f>
        <v>0</v>
      </c>
      <c r="Y38" s="574">
        <f>IFERROR(IF(VLOOKUP(Y$2,MODULY_CBA!$B$3:$I$23,8,0)=$D38,SUMIF('Rozpocet - Vyvoj aplikacii'!$B$3:$B$179,'TCO TO BE- SW'!Y$2,'Rozpocet - Vyvoj aplikacii'!$J$3:$J$179),0),0)</f>
        <v>0</v>
      </c>
      <c r="Z38" s="574">
        <f>IFERROR(IF(VLOOKUP(Z$2,MODULY_CBA!$B$3:$I$23,8,0)=$D38,SUMIF('Rozpocet - Vyvoj aplikacii'!$B$3:$B$179,'TCO TO BE- SW'!Z$2,'Rozpocet - Vyvoj aplikacii'!$J$3:$J$179),0),0)</f>
        <v>0</v>
      </c>
    </row>
    <row r="39" spans="1:26" outlineLevel="2">
      <c r="A39" s="817"/>
      <c r="B39" s="818"/>
      <c r="C39" s="818"/>
      <c r="D39" s="64">
        <v>3</v>
      </c>
      <c r="E39" s="68">
        <f t="shared" si="6"/>
        <v>11496593.297794303</v>
      </c>
      <c r="F39" s="574">
        <f>IFERROR(IF(VLOOKUP(F$2,MODULY_CBA!$B$3:$I$23,8,0)=$D39,SUMIF('Rozpocet - Vyvoj aplikacii'!$B$3:$B$179,'TCO TO BE- SW'!F$2,'Rozpocet - Vyvoj aplikacii'!$J$3:$J$179),0),0)</f>
        <v>0</v>
      </c>
      <c r="G39" s="574">
        <f>IFERROR(IF(VLOOKUP(G$2,MODULY_CBA!$B$3:$I$23,8,0)=$D39,SUMIF('Rozpocet - Vyvoj aplikacii'!$B$3:$B$179,'TCO TO BE- SW'!G$2,'Rozpocet - Vyvoj aplikacii'!$J$3:$J$179),0),0)</f>
        <v>0</v>
      </c>
      <c r="H39" s="574">
        <f>IFERROR(IF(VLOOKUP(H$2,MODULY_CBA!$B$3:$I$23,8,0)=$D39,SUMIF('Rozpocet - Vyvoj aplikacii'!$B$3:$B$179,'TCO TO BE- SW'!H$2,'Rozpocet - Vyvoj aplikacii'!$J$3:$J$179),0),0)</f>
        <v>0</v>
      </c>
      <c r="I39" s="574">
        <f>IFERROR(IF(VLOOKUP(I$2,MODULY_CBA!$B$3:$I$23,8,0)=$D39,SUMIF('Rozpocet - Vyvoj aplikacii'!$B$3:$B$179,'TCO TO BE- SW'!I$2,'Rozpocet - Vyvoj aplikacii'!$J$3:$J$179),0),0)</f>
        <v>0</v>
      </c>
      <c r="J39" s="574">
        <f>IFERROR(IF(VLOOKUP(J$2,MODULY_CBA!$B$3:$I$23,8,0)=$D39,SUMIF('Rozpocet - Vyvoj aplikacii'!$B$3:$B$179,'TCO TO BE- SW'!J$2,'Rozpocet - Vyvoj aplikacii'!$J$3:$J$179),0),0)</f>
        <v>0</v>
      </c>
      <c r="K39" s="574">
        <f>IFERROR(IF(VLOOKUP(K$2,MODULY_CBA!$B$3:$I$23,8,0)=$D39,SUMIF('Rozpocet - Vyvoj aplikacii'!$B$3:$B$179,'TCO TO BE- SW'!K$2,'Rozpocet - Vyvoj aplikacii'!$J$3:$J$179),0),0)</f>
        <v>0</v>
      </c>
      <c r="L39" s="574">
        <f>IFERROR(IF(VLOOKUP(L$2,MODULY_CBA!$B$3:$I$23,8,0)=$D39,SUMIF('Rozpocet - Vyvoj aplikacii'!$B$3:$B$179,'TCO TO BE- SW'!L$2,'Rozpocet - Vyvoj aplikacii'!$J$3:$J$179),0),0)</f>
        <v>5437309.7463060301</v>
      </c>
      <c r="M39" s="574">
        <f>IFERROR(IF(VLOOKUP(M$2,MODULY_CBA!$B$3:$I$23,8,0)=$D39,SUMIF('Rozpocet - Vyvoj aplikacii'!$B$3:$B$179,'TCO TO BE- SW'!M$2,'Rozpocet - Vyvoj aplikacii'!$J$3:$J$179),0),0)</f>
        <v>1090863.8114591034</v>
      </c>
      <c r="N39" s="574">
        <f>IFERROR(IF(VLOOKUP(N$2,MODULY_CBA!$B$3:$I$23,8,0)=$D39,SUMIF('Rozpocet - Vyvoj aplikacii'!$B$3:$B$179,'TCO TO BE- SW'!N$2,'Rozpocet - Vyvoj aplikacii'!$J$3:$J$179),0),0)</f>
        <v>539762.13539972273</v>
      </c>
      <c r="O39" s="574">
        <f>IFERROR(IF(VLOOKUP(O$2,MODULY_CBA!$B$3:$I$23,8,0)=$D39,SUMIF('Rozpocet - Vyvoj aplikacii'!$B$3:$B$179,'TCO TO BE- SW'!O$2,'Rozpocet - Vyvoj aplikacii'!$J$3:$J$179),0),0)</f>
        <v>4428657.6046294468</v>
      </c>
      <c r="P39" s="574">
        <f>IFERROR(IF(VLOOKUP(P$2,MODULY_CBA!$B$3:$I$23,8,0)=$D39,SUMIF('Rozpocet - Vyvoj aplikacii'!$B$3:$B$179,'TCO TO BE- SW'!P$2,'Rozpocet - Vyvoj aplikacii'!$J$3:$J$179),0),0)</f>
        <v>0</v>
      </c>
      <c r="Q39" s="574">
        <f>IFERROR(IF(VLOOKUP(Q$2,MODULY_CBA!$B$3:$I$23,8,0)=$D39,SUMIF('Rozpocet - Vyvoj aplikacii'!$B$3:$B$179,'TCO TO BE- SW'!Q$2,'Rozpocet - Vyvoj aplikacii'!$J$3:$J$179),0),0)</f>
        <v>0</v>
      </c>
      <c r="R39" s="574">
        <f>IFERROR(IF(VLOOKUP(R$2,MODULY_CBA!$B$3:$I$23,8,0)=$D39,SUMIF('Rozpocet - Vyvoj aplikacii'!$B$3:$B$179,'TCO TO BE- SW'!R$2,'Rozpocet - Vyvoj aplikacii'!$J$3:$J$179),0),0)</f>
        <v>0</v>
      </c>
      <c r="S39" s="574">
        <f>IFERROR(IF(VLOOKUP(S$2,MODULY_CBA!$B$3:$I$23,8,0)=$D39,SUMIF('Rozpocet - Vyvoj aplikacii'!$B$3:$B$179,'TCO TO BE- SW'!S$2,'Rozpocet - Vyvoj aplikacii'!$J$3:$J$179),0),0)</f>
        <v>0</v>
      </c>
      <c r="T39" s="574">
        <f>IFERROR(IF(VLOOKUP(T$2,MODULY_CBA!$B$3:$I$23,8,0)=$D39,SUMIF('Rozpocet - Vyvoj aplikacii'!$B$3:$B$179,'TCO TO BE- SW'!T$2,'Rozpocet - Vyvoj aplikacii'!$J$3:$J$179),0),0)</f>
        <v>0</v>
      </c>
      <c r="U39" s="574">
        <f>IFERROR(IF(VLOOKUP(U$2,MODULY_CBA!$B$3:$I$23,8,0)=$D39,SUMIF('Rozpocet - Vyvoj aplikacii'!$B$3:$B$179,'TCO TO BE- SW'!U$2,'Rozpocet - Vyvoj aplikacii'!$J$3:$J$179),0),0)</f>
        <v>0</v>
      </c>
      <c r="V39" s="574">
        <f>IFERROR(IF(VLOOKUP(V$2,MODULY_CBA!$B$3:$I$23,8,0)=$D39,SUMIF('Rozpocet - Vyvoj aplikacii'!$B$3:$B$179,'TCO TO BE- SW'!V$2,'Rozpocet - Vyvoj aplikacii'!$J$3:$J$179),0),0)</f>
        <v>0</v>
      </c>
      <c r="W39" s="574">
        <f>IFERROR(IF(VLOOKUP(W$2,MODULY_CBA!$B$3:$I$23,8,0)=$D39,SUMIF('Rozpocet - Vyvoj aplikacii'!$B$3:$B$179,'TCO TO BE- SW'!W$2,'Rozpocet - Vyvoj aplikacii'!$J$3:$J$179),0),0)</f>
        <v>0</v>
      </c>
      <c r="X39" s="574">
        <f>IFERROR(IF(VLOOKUP(X$2,MODULY_CBA!$B$3:$I$23,8,0)=$D39,SUMIF('Rozpocet - Vyvoj aplikacii'!$B$3:$B$179,'TCO TO BE- SW'!X$2,'Rozpocet - Vyvoj aplikacii'!$J$3:$J$179),0),0)</f>
        <v>0</v>
      </c>
      <c r="Y39" s="574">
        <f>IFERROR(IF(VLOOKUP(Y$2,MODULY_CBA!$B$3:$I$23,8,0)=$D39,SUMIF('Rozpocet - Vyvoj aplikacii'!$B$3:$B$179,'TCO TO BE- SW'!Y$2,'Rozpocet - Vyvoj aplikacii'!$J$3:$J$179),0),0)</f>
        <v>0</v>
      </c>
      <c r="Z39" s="574">
        <f>IFERROR(IF(VLOOKUP(Z$2,MODULY_CBA!$B$3:$I$23,8,0)=$D39,SUMIF('Rozpocet - Vyvoj aplikacii'!$B$3:$B$179,'TCO TO BE- SW'!Z$2,'Rozpocet - Vyvoj aplikacii'!$J$3:$J$179),0),0)</f>
        <v>0</v>
      </c>
    </row>
    <row r="40" spans="1:26" outlineLevel="2">
      <c r="A40" s="817"/>
      <c r="B40" s="818"/>
      <c r="C40" s="818"/>
      <c r="D40" s="64">
        <v>4</v>
      </c>
      <c r="E40" s="68">
        <f t="shared" si="6"/>
        <v>0</v>
      </c>
      <c r="F40" s="574">
        <f>IFERROR(IF(VLOOKUP(F$2,MODULY_CBA!$B$3:$I$23,8,0)=$D40,SUMIF('Rozpocet - Vyvoj aplikacii'!$B$3:$B$179,'TCO TO BE- SW'!F$2,'Rozpocet - Vyvoj aplikacii'!$J$3:$J$179),0),0)</f>
        <v>0</v>
      </c>
      <c r="G40" s="574">
        <f>IFERROR(IF(VLOOKUP(G$2,MODULY_CBA!$B$3:$I$23,8,0)=$D40,SUMIF('Rozpocet - Vyvoj aplikacii'!$B$3:$B$179,'TCO TO BE- SW'!G$2,'Rozpocet - Vyvoj aplikacii'!$J$3:$J$179),0),0)</f>
        <v>0</v>
      </c>
      <c r="H40" s="574">
        <f>IFERROR(IF(VLOOKUP(H$2,MODULY_CBA!$B$3:$I$23,8,0)=$D40,SUMIF('Rozpocet - Vyvoj aplikacii'!$B$3:$B$179,'TCO TO BE- SW'!H$2,'Rozpocet - Vyvoj aplikacii'!$J$3:$J$179),0),0)</f>
        <v>0</v>
      </c>
      <c r="I40" s="574">
        <f>IFERROR(IF(VLOOKUP(I$2,MODULY_CBA!$B$3:$I$23,8,0)=$D40,SUMIF('Rozpocet - Vyvoj aplikacii'!$B$3:$B$179,'TCO TO BE- SW'!I$2,'Rozpocet - Vyvoj aplikacii'!$J$3:$J$179),0),0)</f>
        <v>0</v>
      </c>
      <c r="J40" s="574">
        <f>IFERROR(IF(VLOOKUP(J$2,MODULY_CBA!$B$3:$I$23,8,0)=$D40,SUMIF('Rozpocet - Vyvoj aplikacii'!$B$3:$B$179,'TCO TO BE- SW'!J$2,'Rozpocet - Vyvoj aplikacii'!$J$3:$J$179),0),0)</f>
        <v>0</v>
      </c>
      <c r="K40" s="574">
        <f>IFERROR(IF(VLOOKUP(K$2,MODULY_CBA!$B$3:$I$23,8,0)=$D40,SUMIF('Rozpocet - Vyvoj aplikacii'!$B$3:$B$179,'TCO TO BE- SW'!K$2,'Rozpocet - Vyvoj aplikacii'!$J$3:$J$179),0),0)</f>
        <v>0</v>
      </c>
      <c r="L40" s="574">
        <f>IFERROR(IF(VLOOKUP(L$2,MODULY_CBA!$B$3:$I$23,8,0)=$D40,SUMIF('Rozpocet - Vyvoj aplikacii'!$B$3:$B$179,'TCO TO BE- SW'!L$2,'Rozpocet - Vyvoj aplikacii'!$J$3:$J$179),0),0)</f>
        <v>0</v>
      </c>
      <c r="M40" s="574">
        <f>IFERROR(IF(VLOOKUP(M$2,MODULY_CBA!$B$3:$I$23,8,0)=$D40,SUMIF('Rozpocet - Vyvoj aplikacii'!$B$3:$B$179,'TCO TO BE- SW'!M$2,'Rozpocet - Vyvoj aplikacii'!$J$3:$J$179),0),0)</f>
        <v>0</v>
      </c>
      <c r="N40" s="574">
        <f>IFERROR(IF(VLOOKUP(N$2,MODULY_CBA!$B$3:$I$23,8,0)=$D40,SUMIF('Rozpocet - Vyvoj aplikacii'!$B$3:$B$179,'TCO TO BE- SW'!N$2,'Rozpocet - Vyvoj aplikacii'!$J$3:$J$179),0),0)</f>
        <v>0</v>
      </c>
      <c r="O40" s="574">
        <f>IFERROR(IF(VLOOKUP(O$2,MODULY_CBA!$B$3:$I$23,8,0)=$D40,SUMIF('Rozpocet - Vyvoj aplikacii'!$B$3:$B$179,'TCO TO BE- SW'!O$2,'Rozpocet - Vyvoj aplikacii'!$J$3:$J$179),0),0)</f>
        <v>0</v>
      </c>
      <c r="P40" s="574">
        <f>IFERROR(IF(VLOOKUP(P$2,MODULY_CBA!$B$3:$I$23,8,0)=$D40,SUMIF('Rozpocet - Vyvoj aplikacii'!$B$3:$B$179,'TCO TO BE- SW'!P$2,'Rozpocet - Vyvoj aplikacii'!$J$3:$J$179),0),0)</f>
        <v>0</v>
      </c>
      <c r="Q40" s="574">
        <f>IFERROR(IF(VLOOKUP(Q$2,MODULY_CBA!$B$3:$I$23,8,0)=$D40,SUMIF('Rozpocet - Vyvoj aplikacii'!$B$3:$B$179,'TCO TO BE- SW'!Q$2,'Rozpocet - Vyvoj aplikacii'!$J$3:$J$179),0),0)</f>
        <v>0</v>
      </c>
      <c r="R40" s="574">
        <f>IFERROR(IF(VLOOKUP(R$2,MODULY_CBA!$B$3:$I$23,8,0)=$D40,SUMIF('Rozpocet - Vyvoj aplikacii'!$B$3:$B$179,'TCO TO BE- SW'!R$2,'Rozpocet - Vyvoj aplikacii'!$J$3:$J$179),0),0)</f>
        <v>0</v>
      </c>
      <c r="S40" s="574">
        <f>IFERROR(IF(VLOOKUP(S$2,MODULY_CBA!$B$3:$I$23,8,0)=$D40,SUMIF('Rozpocet - Vyvoj aplikacii'!$B$3:$B$179,'TCO TO BE- SW'!S$2,'Rozpocet - Vyvoj aplikacii'!$J$3:$J$179),0),0)</f>
        <v>0</v>
      </c>
      <c r="T40" s="574">
        <f>IFERROR(IF(VLOOKUP(T$2,MODULY_CBA!$B$3:$I$23,8,0)=$D40,SUMIF('Rozpocet - Vyvoj aplikacii'!$B$3:$B$179,'TCO TO BE- SW'!T$2,'Rozpocet - Vyvoj aplikacii'!$J$3:$J$179),0),0)</f>
        <v>0</v>
      </c>
      <c r="U40" s="574">
        <f>IFERROR(IF(VLOOKUP(U$2,MODULY_CBA!$B$3:$I$23,8,0)=$D40,SUMIF('Rozpocet - Vyvoj aplikacii'!$B$3:$B$179,'TCO TO BE- SW'!U$2,'Rozpocet - Vyvoj aplikacii'!$J$3:$J$179),0),0)</f>
        <v>0</v>
      </c>
      <c r="V40" s="574">
        <f>IFERROR(IF(VLOOKUP(V$2,MODULY_CBA!$B$3:$I$23,8,0)=$D40,SUMIF('Rozpocet - Vyvoj aplikacii'!$B$3:$B$179,'TCO TO BE- SW'!V$2,'Rozpocet - Vyvoj aplikacii'!$J$3:$J$179),0),0)</f>
        <v>0</v>
      </c>
      <c r="W40" s="574">
        <f>IFERROR(IF(VLOOKUP(W$2,MODULY_CBA!$B$3:$I$23,8,0)=$D40,SUMIF('Rozpocet - Vyvoj aplikacii'!$B$3:$B$179,'TCO TO BE- SW'!W$2,'Rozpocet - Vyvoj aplikacii'!$J$3:$J$179),0),0)</f>
        <v>0</v>
      </c>
      <c r="X40" s="574">
        <f>IFERROR(IF(VLOOKUP(X$2,MODULY_CBA!$B$3:$I$23,8,0)=$D40,SUMIF('Rozpocet - Vyvoj aplikacii'!$B$3:$B$179,'TCO TO BE- SW'!X$2,'Rozpocet - Vyvoj aplikacii'!$J$3:$J$179),0),0)</f>
        <v>0</v>
      </c>
      <c r="Y40" s="574">
        <f>IFERROR(IF(VLOOKUP(Y$2,MODULY_CBA!$B$3:$I$23,8,0)=$D40,SUMIF('Rozpocet - Vyvoj aplikacii'!$B$3:$B$179,'TCO TO BE- SW'!Y$2,'Rozpocet - Vyvoj aplikacii'!$J$3:$J$179),0),0)</f>
        <v>0</v>
      </c>
      <c r="Z40" s="574">
        <f>IFERROR(IF(VLOOKUP(Z$2,MODULY_CBA!$B$3:$I$23,8,0)=$D40,SUMIF('Rozpocet - Vyvoj aplikacii'!$B$3:$B$179,'TCO TO BE- SW'!Z$2,'Rozpocet - Vyvoj aplikacii'!$J$3:$J$179),0),0)</f>
        <v>0</v>
      </c>
    </row>
    <row r="41" spans="1:26" outlineLevel="2">
      <c r="A41" s="817"/>
      <c r="B41" s="818"/>
      <c r="C41" s="818"/>
      <c r="D41" s="64">
        <v>5</v>
      </c>
      <c r="E41" s="68">
        <f t="shared" si="6"/>
        <v>0</v>
      </c>
      <c r="F41" s="574">
        <f>IFERROR(IF(VLOOKUP(F$2,MODULY_CBA!$B$3:$I$23,8,0)=$D41,SUMIF('Rozpocet - Vyvoj aplikacii'!$B$3:$B$179,'TCO TO BE- SW'!F$2,'Rozpocet - Vyvoj aplikacii'!$J$3:$J$179),0),0)</f>
        <v>0</v>
      </c>
      <c r="G41" s="574">
        <f>IFERROR(IF(VLOOKUP(G$2,MODULY_CBA!$B$3:$I$23,8,0)=$D41,SUMIF('Rozpocet - Vyvoj aplikacii'!$B$3:$B$179,'TCO TO BE- SW'!G$2,'Rozpocet - Vyvoj aplikacii'!$J$3:$J$179),0),0)</f>
        <v>0</v>
      </c>
      <c r="H41" s="574">
        <f>IFERROR(IF(VLOOKUP(H$2,MODULY_CBA!$B$3:$I$23,8,0)=$D41,SUMIF('Rozpocet - Vyvoj aplikacii'!$B$3:$B$179,'TCO TO BE- SW'!H$2,'Rozpocet - Vyvoj aplikacii'!$J$3:$J$179),0),0)</f>
        <v>0</v>
      </c>
      <c r="I41" s="574">
        <f>IFERROR(IF(VLOOKUP(I$2,MODULY_CBA!$B$3:$I$23,8,0)=$D41,SUMIF('Rozpocet - Vyvoj aplikacii'!$B$3:$B$179,'TCO TO BE- SW'!I$2,'Rozpocet - Vyvoj aplikacii'!$J$3:$J$179),0),0)</f>
        <v>0</v>
      </c>
      <c r="J41" s="574">
        <f>IFERROR(IF(VLOOKUP(J$2,MODULY_CBA!$B$3:$I$23,8,0)=$D41,SUMIF('Rozpocet - Vyvoj aplikacii'!$B$3:$B$179,'TCO TO BE- SW'!J$2,'Rozpocet - Vyvoj aplikacii'!$J$3:$J$179),0),0)</f>
        <v>0</v>
      </c>
      <c r="K41" s="574">
        <f>IFERROR(IF(VLOOKUP(K$2,MODULY_CBA!$B$3:$I$23,8,0)=$D41,SUMIF('Rozpocet - Vyvoj aplikacii'!$B$3:$B$179,'TCO TO BE- SW'!K$2,'Rozpocet - Vyvoj aplikacii'!$J$3:$J$179),0),0)</f>
        <v>0</v>
      </c>
      <c r="L41" s="574">
        <f>IFERROR(IF(VLOOKUP(L$2,MODULY_CBA!$B$3:$I$23,8,0)=$D41,SUMIF('Rozpocet - Vyvoj aplikacii'!$B$3:$B$179,'TCO TO BE- SW'!L$2,'Rozpocet - Vyvoj aplikacii'!$J$3:$J$179),0),0)</f>
        <v>0</v>
      </c>
      <c r="M41" s="574">
        <f>IFERROR(IF(VLOOKUP(M$2,MODULY_CBA!$B$3:$I$23,8,0)=$D41,SUMIF('Rozpocet - Vyvoj aplikacii'!$B$3:$B$179,'TCO TO BE- SW'!M$2,'Rozpocet - Vyvoj aplikacii'!$J$3:$J$179),0),0)</f>
        <v>0</v>
      </c>
      <c r="N41" s="574">
        <f>IFERROR(IF(VLOOKUP(N$2,MODULY_CBA!$B$3:$I$23,8,0)=$D41,SUMIF('Rozpocet - Vyvoj aplikacii'!$B$3:$B$179,'TCO TO BE- SW'!N$2,'Rozpocet - Vyvoj aplikacii'!$J$3:$J$179),0),0)</f>
        <v>0</v>
      </c>
      <c r="O41" s="574">
        <f>IFERROR(IF(VLOOKUP(O$2,MODULY_CBA!$B$3:$I$23,8,0)=$D41,SUMIF('Rozpocet - Vyvoj aplikacii'!$B$3:$B$179,'TCO TO BE- SW'!O$2,'Rozpocet - Vyvoj aplikacii'!$J$3:$J$179),0),0)</f>
        <v>0</v>
      </c>
      <c r="P41" s="574">
        <f>IFERROR(IF(VLOOKUP(P$2,MODULY_CBA!$B$3:$I$23,8,0)=$D41,SUMIF('Rozpocet - Vyvoj aplikacii'!$B$3:$B$179,'TCO TO BE- SW'!P$2,'Rozpocet - Vyvoj aplikacii'!$J$3:$J$179),0),0)</f>
        <v>0</v>
      </c>
      <c r="Q41" s="574">
        <f>IFERROR(IF(VLOOKUP(Q$2,MODULY_CBA!$B$3:$I$23,8,0)=$D41,SUMIF('Rozpocet - Vyvoj aplikacii'!$B$3:$B$179,'TCO TO BE- SW'!Q$2,'Rozpocet - Vyvoj aplikacii'!$J$3:$J$179),0),0)</f>
        <v>0</v>
      </c>
      <c r="R41" s="574">
        <f>IFERROR(IF(VLOOKUP(R$2,MODULY_CBA!$B$3:$I$23,8,0)=$D41,SUMIF('Rozpocet - Vyvoj aplikacii'!$B$3:$B$179,'TCO TO BE- SW'!R$2,'Rozpocet - Vyvoj aplikacii'!$J$3:$J$179),0),0)</f>
        <v>0</v>
      </c>
      <c r="S41" s="574">
        <f>IFERROR(IF(VLOOKUP(S$2,MODULY_CBA!$B$3:$I$23,8,0)=$D41,SUMIF('Rozpocet - Vyvoj aplikacii'!$B$3:$B$179,'TCO TO BE- SW'!S$2,'Rozpocet - Vyvoj aplikacii'!$J$3:$J$179),0),0)</f>
        <v>0</v>
      </c>
      <c r="T41" s="574">
        <f>IFERROR(IF(VLOOKUP(T$2,MODULY_CBA!$B$3:$I$23,8,0)=$D41,SUMIF('Rozpocet - Vyvoj aplikacii'!$B$3:$B$179,'TCO TO BE- SW'!T$2,'Rozpocet - Vyvoj aplikacii'!$J$3:$J$179),0),0)</f>
        <v>0</v>
      </c>
      <c r="U41" s="574">
        <f>IFERROR(IF(VLOOKUP(U$2,MODULY_CBA!$B$3:$I$23,8,0)=$D41,SUMIF('Rozpocet - Vyvoj aplikacii'!$B$3:$B$179,'TCO TO BE- SW'!U$2,'Rozpocet - Vyvoj aplikacii'!$J$3:$J$179),0),0)</f>
        <v>0</v>
      </c>
      <c r="V41" s="574">
        <f>IFERROR(IF(VLOOKUP(V$2,MODULY_CBA!$B$3:$I$23,8,0)=$D41,SUMIF('Rozpocet - Vyvoj aplikacii'!$B$3:$B$179,'TCO TO BE- SW'!V$2,'Rozpocet - Vyvoj aplikacii'!$J$3:$J$179),0),0)</f>
        <v>0</v>
      </c>
      <c r="W41" s="574">
        <f>IFERROR(IF(VLOOKUP(W$2,MODULY_CBA!$B$3:$I$23,8,0)=$D41,SUMIF('Rozpocet - Vyvoj aplikacii'!$B$3:$B$179,'TCO TO BE- SW'!W$2,'Rozpocet - Vyvoj aplikacii'!$J$3:$J$179),0),0)</f>
        <v>0</v>
      </c>
      <c r="X41" s="574">
        <f>IFERROR(IF(VLOOKUP(X$2,MODULY_CBA!$B$3:$I$23,8,0)=$D41,SUMIF('Rozpocet - Vyvoj aplikacii'!$B$3:$B$179,'TCO TO BE- SW'!X$2,'Rozpocet - Vyvoj aplikacii'!$J$3:$J$179),0),0)</f>
        <v>0</v>
      </c>
      <c r="Y41" s="574">
        <f>IFERROR(IF(VLOOKUP(Y$2,MODULY_CBA!$B$3:$I$23,8,0)=$D41,SUMIF('Rozpocet - Vyvoj aplikacii'!$B$3:$B$179,'TCO TO BE- SW'!Y$2,'Rozpocet - Vyvoj aplikacii'!$J$3:$J$179),0),0)</f>
        <v>0</v>
      </c>
      <c r="Z41" s="574">
        <f>IFERROR(IF(VLOOKUP(Z$2,MODULY_CBA!$B$3:$I$23,8,0)=$D41,SUMIF('Rozpocet - Vyvoj aplikacii'!$B$3:$B$179,'TCO TO BE- SW'!Z$2,'Rozpocet - Vyvoj aplikacii'!$J$3:$J$179),0),0)</f>
        <v>0</v>
      </c>
    </row>
    <row r="42" spans="1:26" outlineLevel="2">
      <c r="A42" s="817"/>
      <c r="B42" s="818"/>
      <c r="C42" s="818"/>
      <c r="D42" s="64">
        <v>6</v>
      </c>
      <c r="E42" s="68">
        <f t="shared" si="6"/>
        <v>0</v>
      </c>
      <c r="F42" s="574">
        <f>IFERROR(IF(VLOOKUP(F$2,MODULY_CBA!$B$3:$I$23,8,0)=$D42,SUMIF('Rozpocet - Vyvoj aplikacii'!$B$3:$B$179,'TCO TO BE- SW'!F$2,'Rozpocet - Vyvoj aplikacii'!$J$3:$J$179),0),0)</f>
        <v>0</v>
      </c>
      <c r="G42" s="574">
        <f>IFERROR(IF(VLOOKUP(G$2,MODULY_CBA!$B$3:$I$23,8,0)=$D42,SUMIF('Rozpocet - Vyvoj aplikacii'!$B$3:$B$179,'TCO TO BE- SW'!G$2,'Rozpocet - Vyvoj aplikacii'!$J$3:$J$179),0),0)</f>
        <v>0</v>
      </c>
      <c r="H42" s="574">
        <f>IFERROR(IF(VLOOKUP(H$2,MODULY_CBA!$B$3:$I$23,8,0)=$D42,SUMIF('Rozpocet - Vyvoj aplikacii'!$B$3:$B$179,'TCO TO BE- SW'!H$2,'Rozpocet - Vyvoj aplikacii'!$J$3:$J$179),0),0)</f>
        <v>0</v>
      </c>
      <c r="I42" s="574">
        <f>IFERROR(IF(VLOOKUP(I$2,MODULY_CBA!$B$3:$I$23,8,0)=$D42,SUMIF('Rozpocet - Vyvoj aplikacii'!$B$3:$B$179,'TCO TO BE- SW'!I$2,'Rozpocet - Vyvoj aplikacii'!$J$3:$J$179),0),0)</f>
        <v>0</v>
      </c>
      <c r="J42" s="574">
        <f>IFERROR(IF(VLOOKUP(J$2,MODULY_CBA!$B$3:$I$23,8,0)=$D42,SUMIF('Rozpocet - Vyvoj aplikacii'!$B$3:$B$179,'TCO TO BE- SW'!J$2,'Rozpocet - Vyvoj aplikacii'!$J$3:$J$179),0),0)</f>
        <v>0</v>
      </c>
      <c r="K42" s="574">
        <f>IFERROR(IF(VLOOKUP(K$2,MODULY_CBA!$B$3:$I$23,8,0)=$D42,SUMIF('Rozpocet - Vyvoj aplikacii'!$B$3:$B$179,'TCO TO BE- SW'!K$2,'Rozpocet - Vyvoj aplikacii'!$J$3:$J$179),0),0)</f>
        <v>0</v>
      </c>
      <c r="L42" s="574">
        <f>IFERROR(IF(VLOOKUP(L$2,MODULY_CBA!$B$3:$I$23,8,0)=$D42,SUMIF('Rozpocet - Vyvoj aplikacii'!$B$3:$B$179,'TCO TO BE- SW'!L$2,'Rozpocet - Vyvoj aplikacii'!$J$3:$J$179),0),0)</f>
        <v>0</v>
      </c>
      <c r="M42" s="574">
        <f>IFERROR(IF(VLOOKUP(M$2,MODULY_CBA!$B$3:$I$23,8,0)=$D42,SUMIF('Rozpocet - Vyvoj aplikacii'!$B$3:$B$179,'TCO TO BE- SW'!M$2,'Rozpocet - Vyvoj aplikacii'!$J$3:$J$179),0),0)</f>
        <v>0</v>
      </c>
      <c r="N42" s="574">
        <f>IFERROR(IF(VLOOKUP(N$2,MODULY_CBA!$B$3:$I$23,8,0)=$D42,SUMIF('Rozpocet - Vyvoj aplikacii'!$B$3:$B$179,'TCO TO BE- SW'!N$2,'Rozpocet - Vyvoj aplikacii'!$J$3:$J$179),0),0)</f>
        <v>0</v>
      </c>
      <c r="O42" s="574">
        <f>IFERROR(IF(VLOOKUP(O$2,MODULY_CBA!$B$3:$I$23,8,0)=$D42,SUMIF('Rozpocet - Vyvoj aplikacii'!$B$3:$B$179,'TCO TO BE- SW'!O$2,'Rozpocet - Vyvoj aplikacii'!$J$3:$J$179),0),0)</f>
        <v>0</v>
      </c>
      <c r="P42" s="574">
        <f>IFERROR(IF(VLOOKUP(P$2,MODULY_CBA!$B$3:$I$23,8,0)=$D42,SUMIF('Rozpocet - Vyvoj aplikacii'!$B$3:$B$179,'TCO TO BE- SW'!P$2,'Rozpocet - Vyvoj aplikacii'!$J$3:$J$179),0),0)</f>
        <v>0</v>
      </c>
      <c r="Q42" s="574">
        <f>IFERROR(IF(VLOOKUP(Q$2,MODULY_CBA!$B$3:$I$23,8,0)=$D42,SUMIF('Rozpocet - Vyvoj aplikacii'!$B$3:$B$179,'TCO TO BE- SW'!Q$2,'Rozpocet - Vyvoj aplikacii'!$J$3:$J$179),0),0)</f>
        <v>0</v>
      </c>
      <c r="R42" s="574">
        <f>IFERROR(IF(VLOOKUP(R$2,MODULY_CBA!$B$3:$I$23,8,0)=$D42,SUMIF('Rozpocet - Vyvoj aplikacii'!$B$3:$B$179,'TCO TO BE- SW'!R$2,'Rozpocet - Vyvoj aplikacii'!$J$3:$J$179),0),0)</f>
        <v>0</v>
      </c>
      <c r="S42" s="574">
        <f>IFERROR(IF(VLOOKUP(S$2,MODULY_CBA!$B$3:$I$23,8,0)=$D42,SUMIF('Rozpocet - Vyvoj aplikacii'!$B$3:$B$179,'TCO TO BE- SW'!S$2,'Rozpocet - Vyvoj aplikacii'!$J$3:$J$179),0),0)</f>
        <v>0</v>
      </c>
      <c r="T42" s="574">
        <f>IFERROR(IF(VLOOKUP(T$2,MODULY_CBA!$B$3:$I$23,8,0)=$D42,SUMIF('Rozpocet - Vyvoj aplikacii'!$B$3:$B$179,'TCO TO BE- SW'!T$2,'Rozpocet - Vyvoj aplikacii'!$J$3:$J$179),0),0)</f>
        <v>0</v>
      </c>
      <c r="U42" s="574">
        <f>IFERROR(IF(VLOOKUP(U$2,MODULY_CBA!$B$3:$I$23,8,0)=$D42,SUMIF('Rozpocet - Vyvoj aplikacii'!$B$3:$B$179,'TCO TO BE- SW'!U$2,'Rozpocet - Vyvoj aplikacii'!$J$3:$J$179),0),0)</f>
        <v>0</v>
      </c>
      <c r="V42" s="574">
        <f>IFERROR(IF(VLOOKUP(V$2,MODULY_CBA!$B$3:$I$23,8,0)=$D42,SUMIF('Rozpocet - Vyvoj aplikacii'!$B$3:$B$179,'TCO TO BE- SW'!V$2,'Rozpocet - Vyvoj aplikacii'!$J$3:$J$179),0),0)</f>
        <v>0</v>
      </c>
      <c r="W42" s="574">
        <f>IFERROR(IF(VLOOKUP(W$2,MODULY_CBA!$B$3:$I$23,8,0)=$D42,SUMIF('Rozpocet - Vyvoj aplikacii'!$B$3:$B$179,'TCO TO BE- SW'!W$2,'Rozpocet - Vyvoj aplikacii'!$J$3:$J$179),0),0)</f>
        <v>0</v>
      </c>
      <c r="X42" s="574">
        <f>IFERROR(IF(VLOOKUP(X$2,MODULY_CBA!$B$3:$I$23,8,0)=$D42,SUMIF('Rozpocet - Vyvoj aplikacii'!$B$3:$B$179,'TCO TO BE- SW'!X$2,'Rozpocet - Vyvoj aplikacii'!$J$3:$J$179),0),0)</f>
        <v>0</v>
      </c>
      <c r="Y42" s="574">
        <f>IFERROR(IF(VLOOKUP(Y$2,MODULY_CBA!$B$3:$I$23,8,0)=$D42,SUMIF('Rozpocet - Vyvoj aplikacii'!$B$3:$B$179,'TCO TO BE- SW'!Y$2,'Rozpocet - Vyvoj aplikacii'!$J$3:$J$179),0),0)</f>
        <v>0</v>
      </c>
      <c r="Z42" s="574">
        <f>IFERROR(IF(VLOOKUP(Z$2,MODULY_CBA!$B$3:$I$23,8,0)=$D42,SUMIF('Rozpocet - Vyvoj aplikacii'!$B$3:$B$179,'TCO TO BE- SW'!Z$2,'Rozpocet - Vyvoj aplikacii'!$J$3:$J$179),0),0)</f>
        <v>0</v>
      </c>
    </row>
    <row r="43" spans="1:26" outlineLevel="2">
      <c r="A43" s="817"/>
      <c r="B43" s="818"/>
      <c r="C43" s="818"/>
      <c r="D43" s="64">
        <v>7</v>
      </c>
      <c r="E43" s="68">
        <f t="shared" si="6"/>
        <v>0</v>
      </c>
      <c r="F43" s="574">
        <f>IFERROR(IF(VLOOKUP(F$2,MODULY_CBA!$B$3:$I$23,8,0)=$D43,SUMIF('Rozpocet - Vyvoj aplikacii'!$B$3:$B$179,'TCO TO BE- SW'!F$2,'Rozpocet - Vyvoj aplikacii'!$J$3:$J$179),0),0)</f>
        <v>0</v>
      </c>
      <c r="G43" s="574">
        <f>IFERROR(IF(VLOOKUP(G$2,MODULY_CBA!$B$3:$I$23,8,0)=$D43,SUMIF('Rozpocet - Vyvoj aplikacii'!$B$3:$B$179,'TCO TO BE- SW'!G$2,'Rozpocet - Vyvoj aplikacii'!$J$3:$J$179),0),0)</f>
        <v>0</v>
      </c>
      <c r="H43" s="574">
        <f>IFERROR(IF(VLOOKUP(H$2,MODULY_CBA!$B$3:$I$23,8,0)=$D43,SUMIF('Rozpocet - Vyvoj aplikacii'!$B$3:$B$179,'TCO TO BE- SW'!H$2,'Rozpocet - Vyvoj aplikacii'!$J$3:$J$179),0),0)</f>
        <v>0</v>
      </c>
      <c r="I43" s="574">
        <f>IFERROR(IF(VLOOKUP(I$2,MODULY_CBA!$B$3:$I$23,8,0)=$D43,SUMIF('Rozpocet - Vyvoj aplikacii'!$B$3:$B$179,'TCO TO BE- SW'!I$2,'Rozpocet - Vyvoj aplikacii'!$J$3:$J$179),0),0)</f>
        <v>0</v>
      </c>
      <c r="J43" s="574">
        <f>IFERROR(IF(VLOOKUP(J$2,MODULY_CBA!$B$3:$I$23,8,0)=$D43,SUMIF('Rozpocet - Vyvoj aplikacii'!$B$3:$B$179,'TCO TO BE- SW'!J$2,'Rozpocet - Vyvoj aplikacii'!$J$3:$J$179),0),0)</f>
        <v>0</v>
      </c>
      <c r="K43" s="574">
        <f>IFERROR(IF(VLOOKUP(K$2,MODULY_CBA!$B$3:$I$23,8,0)=$D43,SUMIF('Rozpocet - Vyvoj aplikacii'!$B$3:$B$179,'TCO TO BE- SW'!K$2,'Rozpocet - Vyvoj aplikacii'!$J$3:$J$179),0),0)</f>
        <v>0</v>
      </c>
      <c r="L43" s="574">
        <f>IFERROR(IF(VLOOKUP(L$2,MODULY_CBA!$B$3:$I$23,8,0)=$D43,SUMIF('Rozpocet - Vyvoj aplikacii'!$B$3:$B$179,'TCO TO BE- SW'!L$2,'Rozpocet - Vyvoj aplikacii'!$J$3:$J$179),0),0)</f>
        <v>0</v>
      </c>
      <c r="M43" s="574">
        <f>IFERROR(IF(VLOOKUP(M$2,MODULY_CBA!$B$3:$I$23,8,0)=$D43,SUMIF('Rozpocet - Vyvoj aplikacii'!$B$3:$B$179,'TCO TO BE- SW'!M$2,'Rozpocet - Vyvoj aplikacii'!$J$3:$J$179),0),0)</f>
        <v>0</v>
      </c>
      <c r="N43" s="574">
        <f>IFERROR(IF(VLOOKUP(N$2,MODULY_CBA!$B$3:$I$23,8,0)=$D43,SUMIF('Rozpocet - Vyvoj aplikacii'!$B$3:$B$179,'TCO TO BE- SW'!N$2,'Rozpocet - Vyvoj aplikacii'!$J$3:$J$179),0),0)</f>
        <v>0</v>
      </c>
      <c r="O43" s="574">
        <f>IFERROR(IF(VLOOKUP(O$2,MODULY_CBA!$B$3:$I$23,8,0)=$D43,SUMIF('Rozpocet - Vyvoj aplikacii'!$B$3:$B$179,'TCO TO BE- SW'!O$2,'Rozpocet - Vyvoj aplikacii'!$J$3:$J$179),0),0)</f>
        <v>0</v>
      </c>
      <c r="P43" s="574">
        <f>IFERROR(IF(VLOOKUP(P$2,MODULY_CBA!$B$3:$I$23,8,0)=$D43,SUMIF('Rozpocet - Vyvoj aplikacii'!$B$3:$B$179,'TCO TO BE- SW'!P$2,'Rozpocet - Vyvoj aplikacii'!$J$3:$J$179),0),0)</f>
        <v>0</v>
      </c>
      <c r="Q43" s="574">
        <f>IFERROR(IF(VLOOKUP(Q$2,MODULY_CBA!$B$3:$I$23,8,0)=$D43,SUMIF('Rozpocet - Vyvoj aplikacii'!$B$3:$B$179,'TCO TO BE- SW'!Q$2,'Rozpocet - Vyvoj aplikacii'!$J$3:$J$179),0),0)</f>
        <v>0</v>
      </c>
      <c r="R43" s="574">
        <f>IFERROR(IF(VLOOKUP(R$2,MODULY_CBA!$B$3:$I$23,8,0)=$D43,SUMIF('Rozpocet - Vyvoj aplikacii'!$B$3:$B$179,'TCO TO BE- SW'!R$2,'Rozpocet - Vyvoj aplikacii'!$J$3:$J$179),0),0)</f>
        <v>0</v>
      </c>
      <c r="S43" s="574">
        <f>IFERROR(IF(VLOOKUP(S$2,MODULY_CBA!$B$3:$I$23,8,0)=$D43,SUMIF('Rozpocet - Vyvoj aplikacii'!$B$3:$B$179,'TCO TO BE- SW'!S$2,'Rozpocet - Vyvoj aplikacii'!$J$3:$J$179),0),0)</f>
        <v>0</v>
      </c>
      <c r="T43" s="574">
        <f>IFERROR(IF(VLOOKUP(T$2,MODULY_CBA!$B$3:$I$23,8,0)=$D43,SUMIF('Rozpocet - Vyvoj aplikacii'!$B$3:$B$179,'TCO TO BE- SW'!T$2,'Rozpocet - Vyvoj aplikacii'!$J$3:$J$179),0),0)</f>
        <v>0</v>
      </c>
      <c r="U43" s="574">
        <f>IFERROR(IF(VLOOKUP(U$2,MODULY_CBA!$B$3:$I$23,8,0)=$D43,SUMIF('Rozpocet - Vyvoj aplikacii'!$B$3:$B$179,'TCO TO BE- SW'!U$2,'Rozpocet - Vyvoj aplikacii'!$J$3:$J$179),0),0)</f>
        <v>0</v>
      </c>
      <c r="V43" s="574">
        <f>IFERROR(IF(VLOOKUP(V$2,MODULY_CBA!$B$3:$I$23,8,0)=$D43,SUMIF('Rozpocet - Vyvoj aplikacii'!$B$3:$B$179,'TCO TO BE- SW'!V$2,'Rozpocet - Vyvoj aplikacii'!$J$3:$J$179),0),0)</f>
        <v>0</v>
      </c>
      <c r="W43" s="574">
        <f>IFERROR(IF(VLOOKUP(W$2,MODULY_CBA!$B$3:$I$23,8,0)=$D43,SUMIF('Rozpocet - Vyvoj aplikacii'!$B$3:$B$179,'TCO TO BE- SW'!W$2,'Rozpocet - Vyvoj aplikacii'!$J$3:$J$179),0),0)</f>
        <v>0</v>
      </c>
      <c r="X43" s="574">
        <f>IFERROR(IF(VLOOKUP(X$2,MODULY_CBA!$B$3:$I$23,8,0)=$D43,SUMIF('Rozpocet - Vyvoj aplikacii'!$B$3:$B$179,'TCO TO BE- SW'!X$2,'Rozpocet - Vyvoj aplikacii'!$J$3:$J$179),0),0)</f>
        <v>0</v>
      </c>
      <c r="Y43" s="574">
        <f>IFERROR(IF(VLOOKUP(Y$2,MODULY_CBA!$B$3:$I$23,8,0)=$D43,SUMIF('Rozpocet - Vyvoj aplikacii'!$B$3:$B$179,'TCO TO BE- SW'!Y$2,'Rozpocet - Vyvoj aplikacii'!$J$3:$J$179),0),0)</f>
        <v>0</v>
      </c>
      <c r="Z43" s="574">
        <f>IFERROR(IF(VLOOKUP(Z$2,MODULY_CBA!$B$3:$I$23,8,0)=$D43,SUMIF('Rozpocet - Vyvoj aplikacii'!$B$3:$B$179,'TCO TO BE- SW'!Z$2,'Rozpocet - Vyvoj aplikacii'!$J$3:$J$179),0),0)</f>
        <v>0</v>
      </c>
    </row>
    <row r="44" spans="1:26" outlineLevel="2">
      <c r="A44" s="817"/>
      <c r="B44" s="818"/>
      <c r="C44" s="818"/>
      <c r="D44" s="64">
        <v>8</v>
      </c>
      <c r="E44" s="68">
        <f t="shared" si="6"/>
        <v>0</v>
      </c>
      <c r="F44" s="574">
        <f>IFERROR(IF(VLOOKUP(F$2,MODULY_CBA!$B$3:$I$23,8,0)=$D44,SUMIF('Rozpocet - Vyvoj aplikacii'!$B$3:$B$179,'TCO TO BE- SW'!F$2,'Rozpocet - Vyvoj aplikacii'!$J$3:$J$179),0),0)</f>
        <v>0</v>
      </c>
      <c r="G44" s="574">
        <f>IFERROR(IF(VLOOKUP(G$2,MODULY_CBA!$B$3:$I$23,8,0)=$D44,SUMIF('Rozpocet - Vyvoj aplikacii'!$B$3:$B$179,'TCO TO BE- SW'!G$2,'Rozpocet - Vyvoj aplikacii'!$J$3:$J$179),0),0)</f>
        <v>0</v>
      </c>
      <c r="H44" s="574">
        <f>IFERROR(IF(VLOOKUP(H$2,MODULY_CBA!$B$3:$I$23,8,0)=$D44,SUMIF('Rozpocet - Vyvoj aplikacii'!$B$3:$B$179,'TCO TO BE- SW'!H$2,'Rozpocet - Vyvoj aplikacii'!$J$3:$J$179),0),0)</f>
        <v>0</v>
      </c>
      <c r="I44" s="574">
        <f>IFERROR(IF(VLOOKUP(I$2,MODULY_CBA!$B$3:$I$23,8,0)=$D44,SUMIF('Rozpocet - Vyvoj aplikacii'!$B$3:$B$179,'TCO TO BE- SW'!I$2,'Rozpocet - Vyvoj aplikacii'!$J$3:$J$179),0),0)</f>
        <v>0</v>
      </c>
      <c r="J44" s="574">
        <f>IFERROR(IF(VLOOKUP(J$2,MODULY_CBA!$B$3:$I$23,8,0)=$D44,SUMIF('Rozpocet - Vyvoj aplikacii'!$B$3:$B$179,'TCO TO BE- SW'!J$2,'Rozpocet - Vyvoj aplikacii'!$J$3:$J$179),0),0)</f>
        <v>0</v>
      </c>
      <c r="K44" s="574">
        <f>IFERROR(IF(VLOOKUP(K$2,MODULY_CBA!$B$3:$I$23,8,0)=$D44,SUMIF('Rozpocet - Vyvoj aplikacii'!$B$3:$B$179,'TCO TO BE- SW'!K$2,'Rozpocet - Vyvoj aplikacii'!$J$3:$J$179),0),0)</f>
        <v>0</v>
      </c>
      <c r="L44" s="574">
        <f>IFERROR(IF(VLOOKUP(L$2,MODULY_CBA!$B$3:$I$23,8,0)=$D44,SUMIF('Rozpocet - Vyvoj aplikacii'!$B$3:$B$179,'TCO TO BE- SW'!L$2,'Rozpocet - Vyvoj aplikacii'!$J$3:$J$179),0),0)</f>
        <v>0</v>
      </c>
      <c r="M44" s="574">
        <f>IFERROR(IF(VLOOKUP(M$2,MODULY_CBA!$B$3:$I$23,8,0)=$D44,SUMIF('Rozpocet - Vyvoj aplikacii'!$B$3:$B$179,'TCO TO BE- SW'!M$2,'Rozpocet - Vyvoj aplikacii'!$J$3:$J$179),0),0)</f>
        <v>0</v>
      </c>
      <c r="N44" s="574">
        <f>IFERROR(IF(VLOOKUP(N$2,MODULY_CBA!$B$3:$I$23,8,0)=$D44,SUMIF('Rozpocet - Vyvoj aplikacii'!$B$3:$B$179,'TCO TO BE- SW'!N$2,'Rozpocet - Vyvoj aplikacii'!$J$3:$J$179),0),0)</f>
        <v>0</v>
      </c>
      <c r="O44" s="574">
        <f>IFERROR(IF(VLOOKUP(O$2,MODULY_CBA!$B$3:$I$23,8,0)=$D44,SUMIF('Rozpocet - Vyvoj aplikacii'!$B$3:$B$179,'TCO TO BE- SW'!O$2,'Rozpocet - Vyvoj aplikacii'!$J$3:$J$179),0),0)</f>
        <v>0</v>
      </c>
      <c r="P44" s="574">
        <f>IFERROR(IF(VLOOKUP(P$2,MODULY_CBA!$B$3:$I$23,8,0)=$D44,SUMIF('Rozpocet - Vyvoj aplikacii'!$B$3:$B$179,'TCO TO BE- SW'!P$2,'Rozpocet - Vyvoj aplikacii'!$J$3:$J$179),0),0)</f>
        <v>0</v>
      </c>
      <c r="Q44" s="574">
        <f>IFERROR(IF(VLOOKUP(Q$2,MODULY_CBA!$B$3:$I$23,8,0)=$D44,SUMIF('Rozpocet - Vyvoj aplikacii'!$B$3:$B$179,'TCO TO BE- SW'!Q$2,'Rozpocet - Vyvoj aplikacii'!$J$3:$J$179),0),0)</f>
        <v>0</v>
      </c>
      <c r="R44" s="574">
        <f>IFERROR(IF(VLOOKUP(R$2,MODULY_CBA!$B$3:$I$23,8,0)=$D44,SUMIF('Rozpocet - Vyvoj aplikacii'!$B$3:$B$179,'TCO TO BE- SW'!R$2,'Rozpocet - Vyvoj aplikacii'!$J$3:$J$179),0),0)</f>
        <v>0</v>
      </c>
      <c r="S44" s="574">
        <f>IFERROR(IF(VLOOKUP(S$2,MODULY_CBA!$B$3:$I$23,8,0)=$D44,SUMIF('Rozpocet - Vyvoj aplikacii'!$B$3:$B$179,'TCO TO BE- SW'!S$2,'Rozpocet - Vyvoj aplikacii'!$J$3:$J$179),0),0)</f>
        <v>0</v>
      </c>
      <c r="T44" s="574">
        <f>IFERROR(IF(VLOOKUP(T$2,MODULY_CBA!$B$3:$I$23,8,0)=$D44,SUMIF('Rozpocet - Vyvoj aplikacii'!$B$3:$B$179,'TCO TO BE- SW'!T$2,'Rozpocet - Vyvoj aplikacii'!$J$3:$J$179),0),0)</f>
        <v>0</v>
      </c>
      <c r="U44" s="574">
        <f>IFERROR(IF(VLOOKUP(U$2,MODULY_CBA!$B$3:$I$23,8,0)=$D44,SUMIF('Rozpocet - Vyvoj aplikacii'!$B$3:$B$179,'TCO TO BE- SW'!U$2,'Rozpocet - Vyvoj aplikacii'!$J$3:$J$179),0),0)</f>
        <v>0</v>
      </c>
      <c r="V44" s="574">
        <f>IFERROR(IF(VLOOKUP(V$2,MODULY_CBA!$B$3:$I$23,8,0)=$D44,SUMIF('Rozpocet - Vyvoj aplikacii'!$B$3:$B$179,'TCO TO BE- SW'!V$2,'Rozpocet - Vyvoj aplikacii'!$J$3:$J$179),0),0)</f>
        <v>0</v>
      </c>
      <c r="W44" s="574">
        <f>IFERROR(IF(VLOOKUP(W$2,MODULY_CBA!$B$3:$I$23,8,0)=$D44,SUMIF('Rozpocet - Vyvoj aplikacii'!$B$3:$B$179,'TCO TO BE- SW'!W$2,'Rozpocet - Vyvoj aplikacii'!$J$3:$J$179),0),0)</f>
        <v>0</v>
      </c>
      <c r="X44" s="574">
        <f>IFERROR(IF(VLOOKUP(X$2,MODULY_CBA!$B$3:$I$23,8,0)=$D44,SUMIF('Rozpocet - Vyvoj aplikacii'!$B$3:$B$179,'TCO TO BE- SW'!X$2,'Rozpocet - Vyvoj aplikacii'!$J$3:$J$179),0),0)</f>
        <v>0</v>
      </c>
      <c r="Y44" s="574">
        <f>IFERROR(IF(VLOOKUP(Y$2,MODULY_CBA!$B$3:$I$23,8,0)=$D44,SUMIF('Rozpocet - Vyvoj aplikacii'!$B$3:$B$179,'TCO TO BE- SW'!Y$2,'Rozpocet - Vyvoj aplikacii'!$J$3:$J$179),0),0)</f>
        <v>0</v>
      </c>
      <c r="Z44" s="574">
        <f>IFERROR(IF(VLOOKUP(Z$2,MODULY_CBA!$B$3:$I$23,8,0)=$D44,SUMIF('Rozpocet - Vyvoj aplikacii'!$B$3:$B$179,'TCO TO BE- SW'!Z$2,'Rozpocet - Vyvoj aplikacii'!$J$3:$J$179),0),0)</f>
        <v>0</v>
      </c>
    </row>
    <row r="45" spans="1:26" outlineLevel="2">
      <c r="A45" s="817"/>
      <c r="B45" s="818"/>
      <c r="C45" s="818"/>
      <c r="D45" s="64">
        <v>9</v>
      </c>
      <c r="E45" s="68">
        <f t="shared" si="6"/>
        <v>0</v>
      </c>
      <c r="F45" s="574">
        <f>IFERROR(IF(VLOOKUP(F$2,MODULY_CBA!$B$3:$I$23,8,0)=$D45,SUMIF('Rozpocet - Vyvoj aplikacii'!$B$3:$B$179,'TCO TO BE- SW'!F$2,'Rozpocet - Vyvoj aplikacii'!$J$3:$J$179),0),0)</f>
        <v>0</v>
      </c>
      <c r="G45" s="574">
        <f>IFERROR(IF(VLOOKUP(G$2,MODULY_CBA!$B$3:$I$23,8,0)=$D45,SUMIF('Rozpocet - Vyvoj aplikacii'!$B$3:$B$179,'TCO TO BE- SW'!G$2,'Rozpocet - Vyvoj aplikacii'!$J$3:$J$179),0),0)</f>
        <v>0</v>
      </c>
      <c r="H45" s="574">
        <f>IFERROR(IF(VLOOKUP(H$2,MODULY_CBA!$B$3:$I$23,8,0)=$D45,SUMIF('Rozpocet - Vyvoj aplikacii'!$B$3:$B$179,'TCO TO BE- SW'!H$2,'Rozpocet - Vyvoj aplikacii'!$J$3:$J$179),0),0)</f>
        <v>0</v>
      </c>
      <c r="I45" s="574">
        <f>IFERROR(IF(VLOOKUP(I$2,MODULY_CBA!$B$3:$I$23,8,0)=$D45,SUMIF('Rozpocet - Vyvoj aplikacii'!$B$3:$B$179,'TCO TO BE- SW'!I$2,'Rozpocet - Vyvoj aplikacii'!$J$3:$J$179),0),0)</f>
        <v>0</v>
      </c>
      <c r="J45" s="574">
        <f>IFERROR(IF(VLOOKUP(J$2,MODULY_CBA!$B$3:$I$23,8,0)=$D45,SUMIF('Rozpocet - Vyvoj aplikacii'!$B$3:$B$179,'TCO TO BE- SW'!J$2,'Rozpocet - Vyvoj aplikacii'!$J$3:$J$179),0),0)</f>
        <v>0</v>
      </c>
      <c r="K45" s="574">
        <f>IFERROR(IF(VLOOKUP(K$2,MODULY_CBA!$B$3:$I$23,8,0)=$D45,SUMIF('Rozpocet - Vyvoj aplikacii'!$B$3:$B$179,'TCO TO BE- SW'!K$2,'Rozpocet - Vyvoj aplikacii'!$J$3:$J$179),0),0)</f>
        <v>0</v>
      </c>
      <c r="L45" s="574">
        <f>IFERROR(IF(VLOOKUP(L$2,MODULY_CBA!$B$3:$I$23,8,0)=$D45,SUMIF('Rozpocet - Vyvoj aplikacii'!$B$3:$B$179,'TCO TO BE- SW'!L$2,'Rozpocet - Vyvoj aplikacii'!$J$3:$J$179),0),0)</f>
        <v>0</v>
      </c>
      <c r="M45" s="574">
        <f>IFERROR(IF(VLOOKUP(M$2,MODULY_CBA!$B$3:$I$23,8,0)=$D45,SUMIF('Rozpocet - Vyvoj aplikacii'!$B$3:$B$179,'TCO TO BE- SW'!M$2,'Rozpocet - Vyvoj aplikacii'!$J$3:$J$179),0),0)</f>
        <v>0</v>
      </c>
      <c r="N45" s="574">
        <f>IFERROR(IF(VLOOKUP(N$2,MODULY_CBA!$B$3:$I$23,8,0)=$D45,SUMIF('Rozpocet - Vyvoj aplikacii'!$B$3:$B$179,'TCO TO BE- SW'!N$2,'Rozpocet - Vyvoj aplikacii'!$J$3:$J$179),0),0)</f>
        <v>0</v>
      </c>
      <c r="O45" s="574">
        <f>IFERROR(IF(VLOOKUP(O$2,MODULY_CBA!$B$3:$I$23,8,0)=$D45,SUMIF('Rozpocet - Vyvoj aplikacii'!$B$3:$B$179,'TCO TO BE- SW'!O$2,'Rozpocet - Vyvoj aplikacii'!$J$3:$J$179),0),0)</f>
        <v>0</v>
      </c>
      <c r="P45" s="574">
        <f>IFERROR(IF(VLOOKUP(P$2,MODULY_CBA!$B$3:$I$23,8,0)=$D45,SUMIF('Rozpocet - Vyvoj aplikacii'!$B$3:$B$179,'TCO TO BE- SW'!P$2,'Rozpocet - Vyvoj aplikacii'!$J$3:$J$179),0),0)</f>
        <v>0</v>
      </c>
      <c r="Q45" s="574">
        <f>IFERROR(IF(VLOOKUP(Q$2,MODULY_CBA!$B$3:$I$23,8,0)=$D45,SUMIF('Rozpocet - Vyvoj aplikacii'!$B$3:$B$179,'TCO TO BE- SW'!Q$2,'Rozpocet - Vyvoj aplikacii'!$J$3:$J$179),0),0)</f>
        <v>0</v>
      </c>
      <c r="R45" s="574">
        <f>IFERROR(IF(VLOOKUP(R$2,MODULY_CBA!$B$3:$I$23,8,0)=$D45,SUMIF('Rozpocet - Vyvoj aplikacii'!$B$3:$B$179,'TCO TO BE- SW'!R$2,'Rozpocet - Vyvoj aplikacii'!$J$3:$J$179),0),0)</f>
        <v>0</v>
      </c>
      <c r="S45" s="574">
        <f>IFERROR(IF(VLOOKUP(S$2,MODULY_CBA!$B$3:$I$23,8,0)=$D45,SUMIF('Rozpocet - Vyvoj aplikacii'!$B$3:$B$179,'TCO TO BE- SW'!S$2,'Rozpocet - Vyvoj aplikacii'!$J$3:$J$179),0),0)</f>
        <v>0</v>
      </c>
      <c r="T45" s="574">
        <f>IFERROR(IF(VLOOKUP(T$2,MODULY_CBA!$B$3:$I$23,8,0)=$D45,SUMIF('Rozpocet - Vyvoj aplikacii'!$B$3:$B$179,'TCO TO BE- SW'!T$2,'Rozpocet - Vyvoj aplikacii'!$J$3:$J$179),0),0)</f>
        <v>0</v>
      </c>
      <c r="U45" s="574">
        <f>IFERROR(IF(VLOOKUP(U$2,MODULY_CBA!$B$3:$I$23,8,0)=$D45,SUMIF('Rozpocet - Vyvoj aplikacii'!$B$3:$B$179,'TCO TO BE- SW'!U$2,'Rozpocet - Vyvoj aplikacii'!$J$3:$J$179),0),0)</f>
        <v>0</v>
      </c>
      <c r="V45" s="574">
        <f>IFERROR(IF(VLOOKUP(V$2,MODULY_CBA!$B$3:$I$23,8,0)=$D45,SUMIF('Rozpocet - Vyvoj aplikacii'!$B$3:$B$179,'TCO TO BE- SW'!V$2,'Rozpocet - Vyvoj aplikacii'!$J$3:$J$179),0),0)</f>
        <v>0</v>
      </c>
      <c r="W45" s="574">
        <f>IFERROR(IF(VLOOKUP(W$2,MODULY_CBA!$B$3:$I$23,8,0)=$D45,SUMIF('Rozpocet - Vyvoj aplikacii'!$B$3:$B$179,'TCO TO BE- SW'!W$2,'Rozpocet - Vyvoj aplikacii'!$J$3:$J$179),0),0)</f>
        <v>0</v>
      </c>
      <c r="X45" s="574">
        <f>IFERROR(IF(VLOOKUP(X$2,MODULY_CBA!$B$3:$I$23,8,0)=$D45,SUMIF('Rozpocet - Vyvoj aplikacii'!$B$3:$B$179,'TCO TO BE- SW'!X$2,'Rozpocet - Vyvoj aplikacii'!$J$3:$J$179),0),0)</f>
        <v>0</v>
      </c>
      <c r="Y45" s="574">
        <f>IFERROR(IF(VLOOKUP(Y$2,MODULY_CBA!$B$3:$I$23,8,0)=$D45,SUMIF('Rozpocet - Vyvoj aplikacii'!$B$3:$B$179,'TCO TO BE- SW'!Y$2,'Rozpocet - Vyvoj aplikacii'!$J$3:$J$179),0),0)</f>
        <v>0</v>
      </c>
      <c r="Z45" s="574">
        <f>IFERROR(IF(VLOOKUP(Z$2,MODULY_CBA!$B$3:$I$23,8,0)=$D45,SUMIF('Rozpocet - Vyvoj aplikacii'!$B$3:$B$179,'TCO TO BE- SW'!Z$2,'Rozpocet - Vyvoj aplikacii'!$J$3:$J$179),0),0)</f>
        <v>0</v>
      </c>
    </row>
    <row r="46" spans="1:26" ht="15.75" outlineLevel="2" thickBot="1">
      <c r="A46" s="817"/>
      <c r="B46" s="818"/>
      <c r="C46" s="818"/>
      <c r="D46" s="65">
        <v>10</v>
      </c>
      <c r="E46" s="69">
        <f t="shared" si="6"/>
        <v>0</v>
      </c>
      <c r="F46" s="575">
        <f>IFERROR(IF(VLOOKUP(F$2,MODULY_CBA!$B$3:$I$23,8,0)=$D46,SUMIF('Rozpocet - Vyvoj aplikacii'!$B$3:$B$179,'TCO TO BE- SW'!F$2,'Rozpocet - Vyvoj aplikacii'!$J$3:$J$179),0),0)</f>
        <v>0</v>
      </c>
      <c r="G46" s="575">
        <f>IFERROR(IF(VLOOKUP(G$2,MODULY_CBA!$B$3:$I$23,8,0)=$D46,SUMIF('Rozpocet - Vyvoj aplikacii'!$B$3:$B$179,'TCO TO BE- SW'!G$2,'Rozpocet - Vyvoj aplikacii'!$J$3:$J$179),0),0)</f>
        <v>0</v>
      </c>
      <c r="H46" s="575">
        <f>IFERROR(IF(VLOOKUP(H$2,MODULY_CBA!$B$3:$I$23,8,0)=$D46,SUMIF('Rozpocet - Vyvoj aplikacii'!$B$3:$B$179,'TCO TO BE- SW'!H$2,'Rozpocet - Vyvoj aplikacii'!$J$3:$J$179),0),0)</f>
        <v>0</v>
      </c>
      <c r="I46" s="575">
        <f>IFERROR(IF(VLOOKUP(I$2,MODULY_CBA!$B$3:$I$23,8,0)=$D46,SUMIF('Rozpocet - Vyvoj aplikacii'!$B$3:$B$179,'TCO TO BE- SW'!I$2,'Rozpocet - Vyvoj aplikacii'!$J$3:$J$179),0),0)</f>
        <v>0</v>
      </c>
      <c r="J46" s="575">
        <f>IFERROR(IF(VLOOKUP(J$2,MODULY_CBA!$B$3:$I$23,8,0)=$D46,SUMIF('Rozpocet - Vyvoj aplikacii'!$B$3:$B$179,'TCO TO BE- SW'!J$2,'Rozpocet - Vyvoj aplikacii'!$J$3:$J$179),0),0)</f>
        <v>0</v>
      </c>
      <c r="K46" s="575">
        <f>IFERROR(IF(VLOOKUP(K$2,MODULY_CBA!$B$3:$I$23,8,0)=$D46,SUMIF('Rozpocet - Vyvoj aplikacii'!$B$3:$B$179,'TCO TO BE- SW'!K$2,'Rozpocet - Vyvoj aplikacii'!$J$3:$J$179),0),0)</f>
        <v>0</v>
      </c>
      <c r="L46" s="575">
        <f>IFERROR(IF(VLOOKUP(L$2,MODULY_CBA!$B$3:$I$23,8,0)=$D46,SUMIF('Rozpocet - Vyvoj aplikacii'!$B$3:$B$179,'TCO TO BE- SW'!L$2,'Rozpocet - Vyvoj aplikacii'!$J$3:$J$179),0),0)</f>
        <v>0</v>
      </c>
      <c r="M46" s="575">
        <f>IFERROR(IF(VLOOKUP(M$2,MODULY_CBA!$B$3:$I$23,8,0)=$D46,SUMIF('Rozpocet - Vyvoj aplikacii'!$B$3:$B$179,'TCO TO BE- SW'!M$2,'Rozpocet - Vyvoj aplikacii'!$J$3:$J$179),0),0)</f>
        <v>0</v>
      </c>
      <c r="N46" s="575">
        <f>IFERROR(IF(VLOOKUP(N$2,MODULY_CBA!$B$3:$I$23,8,0)=$D46,SUMIF('Rozpocet - Vyvoj aplikacii'!$B$3:$B$179,'TCO TO BE- SW'!N$2,'Rozpocet - Vyvoj aplikacii'!$J$3:$J$179),0),0)</f>
        <v>0</v>
      </c>
      <c r="O46" s="575">
        <f>IFERROR(IF(VLOOKUP(O$2,MODULY_CBA!$B$3:$I$23,8,0)=$D46,SUMIF('Rozpocet - Vyvoj aplikacii'!$B$3:$B$179,'TCO TO BE- SW'!O$2,'Rozpocet - Vyvoj aplikacii'!$J$3:$J$179),0),0)</f>
        <v>0</v>
      </c>
      <c r="P46" s="575">
        <f>IFERROR(IF(VLOOKUP(P$2,MODULY_CBA!$B$3:$I$23,8,0)=$D46,SUMIF('Rozpocet - Vyvoj aplikacii'!$B$3:$B$179,'TCO TO BE- SW'!P$2,'Rozpocet - Vyvoj aplikacii'!$J$3:$J$179),0),0)</f>
        <v>0</v>
      </c>
      <c r="Q46" s="575">
        <f>IFERROR(IF(VLOOKUP(Q$2,MODULY_CBA!$B$3:$I$23,8,0)=$D46,SUMIF('Rozpocet - Vyvoj aplikacii'!$B$3:$B$179,'TCO TO BE- SW'!Q$2,'Rozpocet - Vyvoj aplikacii'!$J$3:$J$179),0),0)</f>
        <v>0</v>
      </c>
      <c r="R46" s="575">
        <f>IFERROR(IF(VLOOKUP(R$2,MODULY_CBA!$B$3:$I$23,8,0)=$D46,SUMIF('Rozpocet - Vyvoj aplikacii'!$B$3:$B$179,'TCO TO BE- SW'!R$2,'Rozpocet - Vyvoj aplikacii'!$J$3:$J$179),0),0)</f>
        <v>0</v>
      </c>
      <c r="S46" s="575">
        <f>IFERROR(IF(VLOOKUP(S$2,MODULY_CBA!$B$3:$I$23,8,0)=$D46,SUMIF('Rozpocet - Vyvoj aplikacii'!$B$3:$B$179,'TCO TO BE- SW'!S$2,'Rozpocet - Vyvoj aplikacii'!$J$3:$J$179),0),0)</f>
        <v>0</v>
      </c>
      <c r="T46" s="575">
        <f>IFERROR(IF(VLOOKUP(T$2,MODULY_CBA!$B$3:$I$23,8,0)=$D46,SUMIF('Rozpocet - Vyvoj aplikacii'!$B$3:$B$179,'TCO TO BE- SW'!T$2,'Rozpocet - Vyvoj aplikacii'!$J$3:$J$179),0),0)</f>
        <v>0</v>
      </c>
      <c r="U46" s="575">
        <f>IFERROR(IF(VLOOKUP(U$2,MODULY_CBA!$B$3:$I$23,8,0)=$D46,SUMIF('Rozpocet - Vyvoj aplikacii'!$B$3:$B$179,'TCO TO BE- SW'!U$2,'Rozpocet - Vyvoj aplikacii'!$J$3:$J$179),0),0)</f>
        <v>0</v>
      </c>
      <c r="V46" s="575">
        <f>IFERROR(IF(VLOOKUP(V$2,MODULY_CBA!$B$3:$I$23,8,0)=$D46,SUMIF('Rozpocet - Vyvoj aplikacii'!$B$3:$B$179,'TCO TO BE- SW'!V$2,'Rozpocet - Vyvoj aplikacii'!$J$3:$J$179),0),0)</f>
        <v>0</v>
      </c>
      <c r="W46" s="575">
        <f>IFERROR(IF(VLOOKUP(W$2,MODULY_CBA!$B$3:$I$23,8,0)=$D46,SUMIF('Rozpocet - Vyvoj aplikacii'!$B$3:$B$179,'TCO TO BE- SW'!W$2,'Rozpocet - Vyvoj aplikacii'!$J$3:$J$179),0),0)</f>
        <v>0</v>
      </c>
      <c r="X46" s="575">
        <f>IFERROR(IF(VLOOKUP(X$2,MODULY_CBA!$B$3:$I$23,8,0)=$D46,SUMIF('Rozpocet - Vyvoj aplikacii'!$B$3:$B$179,'TCO TO BE- SW'!X$2,'Rozpocet - Vyvoj aplikacii'!$J$3:$J$179),0),0)</f>
        <v>0</v>
      </c>
      <c r="Y46" s="575">
        <f>IFERROR(IF(VLOOKUP(Y$2,MODULY_CBA!$B$3:$I$23,8,0)=$D46,SUMIF('Rozpocet - Vyvoj aplikacii'!$B$3:$B$179,'TCO TO BE- SW'!Y$2,'Rozpocet - Vyvoj aplikacii'!$J$3:$J$179),0),0)</f>
        <v>0</v>
      </c>
      <c r="Z46" s="575">
        <f>IFERROR(IF(VLOOKUP(Z$2,MODULY_CBA!$B$3:$I$23,8,0)=$D46,SUMIF('Rozpocet - Vyvoj aplikacii'!$B$3:$B$179,'TCO TO BE- SW'!Z$2,'Rozpocet - Vyvoj aplikacii'!$J$3:$J$179),0),0)</f>
        <v>0</v>
      </c>
    </row>
    <row r="47" spans="1:26" outlineLevel="2">
      <c r="A47" s="817" t="s">
        <v>1518</v>
      </c>
      <c r="B47" s="818" t="s">
        <v>1506</v>
      </c>
      <c r="C47" s="818">
        <v>633013</v>
      </c>
      <c r="D47" s="63">
        <v>1</v>
      </c>
      <c r="E47" s="68">
        <f t="shared" si="6"/>
        <v>0</v>
      </c>
      <c r="F47" s="576">
        <v>0</v>
      </c>
      <c r="G47" s="576">
        <v>0</v>
      </c>
      <c r="H47" s="576">
        <v>0</v>
      </c>
      <c r="I47" s="576">
        <v>0</v>
      </c>
      <c r="J47" s="576">
        <v>0</v>
      </c>
      <c r="K47" s="576">
        <v>0</v>
      </c>
      <c r="L47" s="576">
        <v>0</v>
      </c>
      <c r="M47" s="576">
        <v>0</v>
      </c>
      <c r="N47" s="576">
        <v>0</v>
      </c>
      <c r="O47" s="576">
        <v>0</v>
      </c>
      <c r="P47" s="576">
        <v>0</v>
      </c>
      <c r="Q47" s="576">
        <v>0</v>
      </c>
      <c r="R47" s="576">
        <v>0</v>
      </c>
      <c r="S47" s="576">
        <v>0</v>
      </c>
      <c r="T47" s="576">
        <v>0</v>
      </c>
      <c r="U47" s="576">
        <v>0</v>
      </c>
      <c r="V47" s="576">
        <v>0</v>
      </c>
      <c r="W47" s="576">
        <v>0</v>
      </c>
      <c r="X47" s="576">
        <v>0</v>
      </c>
      <c r="Y47" s="576">
        <v>0</v>
      </c>
      <c r="Z47" s="576">
        <v>0</v>
      </c>
    </row>
    <row r="48" spans="1:26" outlineLevel="2">
      <c r="A48" s="817"/>
      <c r="B48" s="818"/>
      <c r="C48" s="818"/>
      <c r="D48" s="64">
        <v>2</v>
      </c>
      <c r="E48" s="68">
        <f t="shared" si="6"/>
        <v>0</v>
      </c>
      <c r="F48" s="577">
        <v>0</v>
      </c>
      <c r="G48" s="577">
        <v>0</v>
      </c>
      <c r="H48" s="577">
        <v>0</v>
      </c>
      <c r="I48" s="577">
        <v>0</v>
      </c>
      <c r="J48" s="577">
        <v>0</v>
      </c>
      <c r="K48" s="577">
        <v>0</v>
      </c>
      <c r="L48" s="577">
        <v>0</v>
      </c>
      <c r="M48" s="577">
        <v>0</v>
      </c>
      <c r="N48" s="577">
        <v>0</v>
      </c>
      <c r="O48" s="577">
        <v>0</v>
      </c>
      <c r="P48" s="577">
        <v>0</v>
      </c>
      <c r="Q48" s="577">
        <v>0</v>
      </c>
      <c r="R48" s="577">
        <v>0</v>
      </c>
      <c r="S48" s="577">
        <v>0</v>
      </c>
      <c r="T48" s="577">
        <v>0</v>
      </c>
      <c r="U48" s="577">
        <v>0</v>
      </c>
      <c r="V48" s="577">
        <v>0</v>
      </c>
      <c r="W48" s="577">
        <v>0</v>
      </c>
      <c r="X48" s="577">
        <v>0</v>
      </c>
      <c r="Y48" s="577">
        <v>0</v>
      </c>
      <c r="Z48" s="577">
        <v>0</v>
      </c>
    </row>
    <row r="49" spans="1:26" outlineLevel="2">
      <c r="A49" s="817"/>
      <c r="B49" s="818"/>
      <c r="C49" s="818"/>
      <c r="D49" s="64">
        <v>3</v>
      </c>
      <c r="E49" s="68">
        <f t="shared" si="6"/>
        <v>0</v>
      </c>
      <c r="F49" s="577">
        <v>0</v>
      </c>
      <c r="G49" s="577">
        <v>0</v>
      </c>
      <c r="H49" s="577">
        <v>0</v>
      </c>
      <c r="I49" s="577">
        <v>0</v>
      </c>
      <c r="J49" s="577">
        <v>0</v>
      </c>
      <c r="K49" s="577">
        <v>0</v>
      </c>
      <c r="L49" s="577">
        <v>0</v>
      </c>
      <c r="M49" s="577">
        <v>0</v>
      </c>
      <c r="N49" s="577">
        <v>0</v>
      </c>
      <c r="O49" s="577">
        <v>0</v>
      </c>
      <c r="P49" s="577">
        <v>0</v>
      </c>
      <c r="Q49" s="577">
        <v>0</v>
      </c>
      <c r="R49" s="577">
        <v>0</v>
      </c>
      <c r="S49" s="577">
        <v>0</v>
      </c>
      <c r="T49" s="577">
        <v>0</v>
      </c>
      <c r="U49" s="577">
        <v>0</v>
      </c>
      <c r="V49" s="577">
        <v>0</v>
      </c>
      <c r="W49" s="577">
        <v>0</v>
      </c>
      <c r="X49" s="577">
        <v>0</v>
      </c>
      <c r="Y49" s="577">
        <v>0</v>
      </c>
      <c r="Z49" s="577">
        <v>0</v>
      </c>
    </row>
    <row r="50" spans="1:26" outlineLevel="2">
      <c r="A50" s="817"/>
      <c r="B50" s="818"/>
      <c r="C50" s="818"/>
      <c r="D50" s="64">
        <v>4</v>
      </c>
      <c r="E50" s="68">
        <f t="shared" si="6"/>
        <v>0</v>
      </c>
      <c r="F50" s="577">
        <v>0</v>
      </c>
      <c r="G50" s="577">
        <v>0</v>
      </c>
      <c r="H50" s="577">
        <v>0</v>
      </c>
      <c r="I50" s="577">
        <v>0</v>
      </c>
      <c r="J50" s="577">
        <v>0</v>
      </c>
      <c r="K50" s="577">
        <v>0</v>
      </c>
      <c r="L50" s="577">
        <v>0</v>
      </c>
      <c r="M50" s="577">
        <v>0</v>
      </c>
      <c r="N50" s="577">
        <v>0</v>
      </c>
      <c r="O50" s="577">
        <v>0</v>
      </c>
      <c r="P50" s="577">
        <v>0</v>
      </c>
      <c r="Q50" s="577">
        <v>0</v>
      </c>
      <c r="R50" s="577">
        <v>0</v>
      </c>
      <c r="S50" s="577">
        <v>0</v>
      </c>
      <c r="T50" s="577">
        <v>0</v>
      </c>
      <c r="U50" s="577">
        <v>0</v>
      </c>
      <c r="V50" s="577">
        <v>0</v>
      </c>
      <c r="W50" s="577">
        <v>0</v>
      </c>
      <c r="X50" s="577">
        <v>0</v>
      </c>
      <c r="Y50" s="577">
        <v>0</v>
      </c>
      <c r="Z50" s="577">
        <v>0</v>
      </c>
    </row>
    <row r="51" spans="1:26" outlineLevel="2">
      <c r="A51" s="817"/>
      <c r="B51" s="818"/>
      <c r="C51" s="818"/>
      <c r="D51" s="64">
        <v>5</v>
      </c>
      <c r="E51" s="68">
        <f t="shared" si="6"/>
        <v>0</v>
      </c>
      <c r="F51" s="577">
        <v>0</v>
      </c>
      <c r="G51" s="577">
        <v>0</v>
      </c>
      <c r="H51" s="577">
        <v>0</v>
      </c>
      <c r="I51" s="577">
        <v>0</v>
      </c>
      <c r="J51" s="577">
        <v>0</v>
      </c>
      <c r="K51" s="577">
        <v>0</v>
      </c>
      <c r="L51" s="577">
        <v>0</v>
      </c>
      <c r="M51" s="577">
        <v>0</v>
      </c>
      <c r="N51" s="577">
        <v>0</v>
      </c>
      <c r="O51" s="577">
        <v>0</v>
      </c>
      <c r="P51" s="577">
        <v>0</v>
      </c>
      <c r="Q51" s="577">
        <v>0</v>
      </c>
      <c r="R51" s="577">
        <v>0</v>
      </c>
      <c r="S51" s="577">
        <v>0</v>
      </c>
      <c r="T51" s="577">
        <v>0</v>
      </c>
      <c r="U51" s="577">
        <v>0</v>
      </c>
      <c r="V51" s="577">
        <v>0</v>
      </c>
      <c r="W51" s="577">
        <v>0</v>
      </c>
      <c r="X51" s="577">
        <v>0</v>
      </c>
      <c r="Y51" s="577">
        <v>0</v>
      </c>
      <c r="Z51" s="577">
        <v>0</v>
      </c>
    </row>
    <row r="52" spans="1:26" outlineLevel="2">
      <c r="A52" s="817"/>
      <c r="B52" s="818"/>
      <c r="C52" s="818"/>
      <c r="D52" s="64">
        <v>6</v>
      </c>
      <c r="E52" s="68">
        <f t="shared" si="6"/>
        <v>0</v>
      </c>
      <c r="F52" s="577">
        <v>0</v>
      </c>
      <c r="G52" s="577">
        <v>0</v>
      </c>
      <c r="H52" s="577">
        <v>0</v>
      </c>
      <c r="I52" s="577">
        <v>0</v>
      </c>
      <c r="J52" s="577">
        <v>0</v>
      </c>
      <c r="K52" s="577">
        <v>0</v>
      </c>
      <c r="L52" s="577">
        <v>0</v>
      </c>
      <c r="M52" s="577">
        <v>0</v>
      </c>
      <c r="N52" s="577">
        <v>0</v>
      </c>
      <c r="O52" s="577">
        <v>0</v>
      </c>
      <c r="P52" s="577">
        <v>0</v>
      </c>
      <c r="Q52" s="577">
        <v>0</v>
      </c>
      <c r="R52" s="577">
        <v>0</v>
      </c>
      <c r="S52" s="577">
        <v>0</v>
      </c>
      <c r="T52" s="577">
        <v>0</v>
      </c>
      <c r="U52" s="577">
        <v>0</v>
      </c>
      <c r="V52" s="577">
        <v>0</v>
      </c>
      <c r="W52" s="577">
        <v>0</v>
      </c>
      <c r="X52" s="577">
        <v>0</v>
      </c>
      <c r="Y52" s="577">
        <v>0</v>
      </c>
      <c r="Z52" s="577">
        <v>0</v>
      </c>
    </row>
    <row r="53" spans="1:26" outlineLevel="2">
      <c r="A53" s="817"/>
      <c r="B53" s="818"/>
      <c r="C53" s="818"/>
      <c r="D53" s="64">
        <v>7</v>
      </c>
      <c r="E53" s="68">
        <f t="shared" si="6"/>
        <v>0</v>
      </c>
      <c r="F53" s="577">
        <v>0</v>
      </c>
      <c r="G53" s="577">
        <v>0</v>
      </c>
      <c r="H53" s="577">
        <v>0</v>
      </c>
      <c r="I53" s="577">
        <v>0</v>
      </c>
      <c r="J53" s="577">
        <v>0</v>
      </c>
      <c r="K53" s="577">
        <v>0</v>
      </c>
      <c r="L53" s="577">
        <v>0</v>
      </c>
      <c r="M53" s="577">
        <v>0</v>
      </c>
      <c r="N53" s="577">
        <v>0</v>
      </c>
      <c r="O53" s="577">
        <v>0</v>
      </c>
      <c r="P53" s="577">
        <v>0</v>
      </c>
      <c r="Q53" s="577">
        <v>0</v>
      </c>
      <c r="R53" s="577">
        <v>0</v>
      </c>
      <c r="S53" s="577">
        <v>0</v>
      </c>
      <c r="T53" s="577">
        <v>0</v>
      </c>
      <c r="U53" s="577">
        <v>0</v>
      </c>
      <c r="V53" s="577">
        <v>0</v>
      </c>
      <c r="W53" s="577">
        <v>0</v>
      </c>
      <c r="X53" s="577">
        <v>0</v>
      </c>
      <c r="Y53" s="577">
        <v>0</v>
      </c>
      <c r="Z53" s="577">
        <v>0</v>
      </c>
    </row>
    <row r="54" spans="1:26" outlineLevel="2">
      <c r="A54" s="817"/>
      <c r="B54" s="818"/>
      <c r="C54" s="818"/>
      <c r="D54" s="64">
        <v>8</v>
      </c>
      <c r="E54" s="68">
        <f t="shared" si="6"/>
        <v>0</v>
      </c>
      <c r="F54" s="577">
        <v>0</v>
      </c>
      <c r="G54" s="577">
        <v>0</v>
      </c>
      <c r="H54" s="577">
        <v>0</v>
      </c>
      <c r="I54" s="577">
        <v>0</v>
      </c>
      <c r="J54" s="577">
        <v>0</v>
      </c>
      <c r="K54" s="577">
        <v>0</v>
      </c>
      <c r="L54" s="577">
        <v>0</v>
      </c>
      <c r="M54" s="577">
        <v>0</v>
      </c>
      <c r="N54" s="577">
        <v>0</v>
      </c>
      <c r="O54" s="577">
        <v>0</v>
      </c>
      <c r="P54" s="577">
        <v>0</v>
      </c>
      <c r="Q54" s="577">
        <v>0</v>
      </c>
      <c r="R54" s="577">
        <v>0</v>
      </c>
      <c r="S54" s="577">
        <v>0</v>
      </c>
      <c r="T54" s="577">
        <v>0</v>
      </c>
      <c r="U54" s="577">
        <v>0</v>
      </c>
      <c r="V54" s="577">
        <v>0</v>
      </c>
      <c r="W54" s="577">
        <v>0</v>
      </c>
      <c r="X54" s="577">
        <v>0</v>
      </c>
      <c r="Y54" s="577">
        <v>0</v>
      </c>
      <c r="Z54" s="577">
        <v>0</v>
      </c>
    </row>
    <row r="55" spans="1:26" outlineLevel="2">
      <c r="A55" s="817"/>
      <c r="B55" s="818"/>
      <c r="C55" s="818"/>
      <c r="D55" s="64">
        <v>9</v>
      </c>
      <c r="E55" s="68">
        <f t="shared" si="6"/>
        <v>0</v>
      </c>
      <c r="F55" s="577">
        <v>0</v>
      </c>
      <c r="G55" s="577">
        <v>0</v>
      </c>
      <c r="H55" s="577">
        <v>0</v>
      </c>
      <c r="I55" s="577">
        <v>0</v>
      </c>
      <c r="J55" s="577">
        <v>0</v>
      </c>
      <c r="K55" s="577">
        <v>0</v>
      </c>
      <c r="L55" s="577">
        <v>0</v>
      </c>
      <c r="M55" s="577">
        <v>0</v>
      </c>
      <c r="N55" s="577">
        <v>0</v>
      </c>
      <c r="O55" s="577">
        <v>0</v>
      </c>
      <c r="P55" s="577">
        <v>0</v>
      </c>
      <c r="Q55" s="577">
        <v>0</v>
      </c>
      <c r="R55" s="577">
        <v>0</v>
      </c>
      <c r="S55" s="577">
        <v>0</v>
      </c>
      <c r="T55" s="577">
        <v>0</v>
      </c>
      <c r="U55" s="577">
        <v>0</v>
      </c>
      <c r="V55" s="577">
        <v>0</v>
      </c>
      <c r="W55" s="577">
        <v>0</v>
      </c>
      <c r="X55" s="577">
        <v>0</v>
      </c>
      <c r="Y55" s="577">
        <v>0</v>
      </c>
      <c r="Z55" s="577">
        <v>0</v>
      </c>
    </row>
    <row r="56" spans="1:26" ht="15.75" outlineLevel="2" thickBot="1">
      <c r="A56" s="817"/>
      <c r="B56" s="818"/>
      <c r="C56" s="818"/>
      <c r="D56" s="65">
        <v>10</v>
      </c>
      <c r="E56" s="69">
        <f t="shared" si="6"/>
        <v>0</v>
      </c>
      <c r="F56" s="581">
        <v>0</v>
      </c>
      <c r="G56" s="581">
        <v>0</v>
      </c>
      <c r="H56" s="581">
        <v>0</v>
      </c>
      <c r="I56" s="581">
        <v>0</v>
      </c>
      <c r="J56" s="581">
        <v>0</v>
      </c>
      <c r="K56" s="581">
        <v>0</v>
      </c>
      <c r="L56" s="581">
        <v>0</v>
      </c>
      <c r="M56" s="581">
        <v>0</v>
      </c>
      <c r="N56" s="581">
        <v>0</v>
      </c>
      <c r="O56" s="581">
        <v>0</v>
      </c>
      <c r="P56" s="581">
        <v>0</v>
      </c>
      <c r="Q56" s="581">
        <v>0</v>
      </c>
      <c r="R56" s="581">
        <v>0</v>
      </c>
      <c r="S56" s="581">
        <v>0</v>
      </c>
      <c r="T56" s="581">
        <v>0</v>
      </c>
      <c r="U56" s="581">
        <v>0</v>
      </c>
      <c r="V56" s="581">
        <v>0</v>
      </c>
      <c r="W56" s="581">
        <v>0</v>
      </c>
      <c r="X56" s="581">
        <v>0</v>
      </c>
      <c r="Y56" s="581">
        <v>0</v>
      </c>
      <c r="Z56" s="581">
        <v>0</v>
      </c>
    </row>
    <row r="57" spans="1:26" outlineLevel="2">
      <c r="A57" s="817" t="s">
        <v>1519</v>
      </c>
      <c r="B57" s="818" t="s">
        <v>1504</v>
      </c>
      <c r="C57" s="818">
        <v>610</v>
      </c>
      <c r="D57" s="63">
        <v>1</v>
      </c>
      <c r="E57" s="68">
        <f t="shared" ref="E57:E66" si="7">SUM(F57:Z57)</f>
        <v>0</v>
      </c>
      <c r="F57" s="573">
        <f>IFERROR(IF(VLOOKUP(F$2,MODULY_CBA!$B$3:$L$23,8,0)=$D57,SUMIF('Rozpocet - Vyvoj aplikacii'!$B$3:$B$179,'TCO TO BE- SW'!F$2,'Rozpocet - Vyvoj aplikacii'!$I$3:$I$179),0),0)</f>
        <v>0</v>
      </c>
      <c r="G57" s="573">
        <f>IFERROR(IF(VLOOKUP(G$2,MODULY_CBA!$B$3:$L$23,8,0)=$D57,SUMIF('Rozpocet - Vyvoj aplikacii'!$B$3:$B$179,'TCO TO BE- SW'!G$2,'Rozpocet - Vyvoj aplikacii'!$I$3:$I$179),0),0)</f>
        <v>0</v>
      </c>
      <c r="H57" s="573">
        <f>IFERROR(IF(VLOOKUP(H$2,MODULY_CBA!$B$3:$L$23,8,0)=$D57,SUMIF('Rozpocet - Vyvoj aplikacii'!$B$3:$B$179,'TCO TO BE- SW'!H$2,'Rozpocet - Vyvoj aplikacii'!$I$3:$I$179),0),0)</f>
        <v>0</v>
      </c>
      <c r="I57" s="573">
        <f>IFERROR(IF(VLOOKUP(I$2,MODULY_CBA!$B$3:$L$23,8,0)=$D57,SUMIF('Rozpocet - Vyvoj aplikacii'!$B$3:$B$179,'TCO TO BE- SW'!I$2,'Rozpocet - Vyvoj aplikacii'!$I$3:$I$179),0),0)</f>
        <v>0</v>
      </c>
      <c r="J57" s="573">
        <f>IFERROR(IF(VLOOKUP(J$2,MODULY_CBA!$B$3:$L$23,8,0)=$D57,SUMIF('Rozpocet - Vyvoj aplikacii'!$B$3:$B$179,'TCO TO BE- SW'!J$2,'Rozpocet - Vyvoj aplikacii'!$I$3:$I$179),0),0)</f>
        <v>0</v>
      </c>
      <c r="K57" s="573">
        <f>IFERROR(IF(VLOOKUP(K$2,MODULY_CBA!$B$3:$L$23,8,0)=$D57,SUMIF('Rozpocet - Vyvoj aplikacii'!$B$3:$B$179,'TCO TO BE- SW'!K$2,'Rozpocet - Vyvoj aplikacii'!$I$3:$I$179),0),0)</f>
        <v>0</v>
      </c>
      <c r="L57" s="573">
        <f>IFERROR(IF(VLOOKUP(L$2,MODULY_CBA!$B$3:$L$23,8,0)=$D57,SUMIF('Rozpocet - Vyvoj aplikacii'!$B$3:$B$179,'TCO TO BE- SW'!L$2,'Rozpocet - Vyvoj aplikacii'!$I$3:$I$179),0),0)</f>
        <v>0</v>
      </c>
      <c r="M57" s="573">
        <f>IFERROR(IF(VLOOKUP(M$2,MODULY_CBA!$B$3:$L$23,8,0)=$D57,SUMIF('Rozpocet - Vyvoj aplikacii'!$B$3:$B$179,'TCO TO BE- SW'!M$2,'Rozpocet - Vyvoj aplikacii'!$I$3:$I$179),0),0)</f>
        <v>0</v>
      </c>
      <c r="N57" s="573">
        <f>IFERROR(IF(VLOOKUP(N$2,MODULY_CBA!$B$3:$L$23,8,0)=$D57,SUMIF('Rozpocet - Vyvoj aplikacii'!$B$3:$B$179,'TCO TO BE- SW'!N$2,'Rozpocet - Vyvoj aplikacii'!$I$3:$I$179),0),0)</f>
        <v>0</v>
      </c>
      <c r="O57" s="573">
        <f>IFERROR(IF(VLOOKUP(O$2,MODULY_CBA!$B$3:$L$23,8,0)=$D57,SUMIF('Rozpocet - Vyvoj aplikacii'!$B$3:$B$179,'TCO TO BE- SW'!O$2,'Rozpocet - Vyvoj aplikacii'!$I$3:$I$179),0),0)</f>
        <v>0</v>
      </c>
      <c r="P57" s="573">
        <f>IFERROR(IF(VLOOKUP(P$2,MODULY_CBA!$B$3:$L$23,8,0)=$D57,SUMIF('Rozpocet - Vyvoj aplikacii'!$B$3:$B$179,'TCO TO BE- SW'!P$2,'Rozpocet - Vyvoj aplikacii'!$I$3:$I$179),0),0)</f>
        <v>0</v>
      </c>
      <c r="Q57" s="573">
        <f>IFERROR(IF(VLOOKUP(Q$2,MODULY_CBA!$B$3:$L$23,8,0)=$D57,SUMIF('Rozpocet - Vyvoj aplikacii'!$B$3:$B$179,'TCO TO BE- SW'!Q$2,'Rozpocet - Vyvoj aplikacii'!$I$3:$I$179),0),0)</f>
        <v>0</v>
      </c>
      <c r="R57" s="573">
        <f>IFERROR(IF(VLOOKUP(R$2,MODULY_CBA!$B$3:$L$23,8,0)=$D57,SUMIF('Rozpocet - Vyvoj aplikacii'!$B$3:$B$179,'TCO TO BE- SW'!R$2,'Rozpocet - Vyvoj aplikacii'!$I$3:$I$179),0),0)</f>
        <v>0</v>
      </c>
      <c r="S57" s="573">
        <f>IFERROR(IF(VLOOKUP(S$2,MODULY_CBA!$B$3:$L$23,8,0)=$D57,SUMIF('Rozpocet - Vyvoj aplikacii'!$B$3:$B$179,'TCO TO BE- SW'!S$2,'Rozpocet - Vyvoj aplikacii'!$I$3:$I$179),0),0)</f>
        <v>0</v>
      </c>
      <c r="T57" s="573">
        <f>IFERROR(IF(VLOOKUP(T$2,MODULY_CBA!$B$3:$L$23,8,0)=$D57,SUMIF('Rozpocet - Vyvoj aplikacii'!$B$3:$B$179,'TCO TO BE- SW'!T$2,'Rozpocet - Vyvoj aplikacii'!$I$3:$I$179),0),0)</f>
        <v>0</v>
      </c>
      <c r="U57" s="573">
        <f>IFERROR(IF(VLOOKUP(U$2,MODULY_CBA!$B$3:$L$23,8,0)=$D57,SUMIF('Rozpocet - Vyvoj aplikacii'!$B$3:$B$179,'TCO TO BE- SW'!U$2,'Rozpocet - Vyvoj aplikacii'!$I$3:$I$179),0),0)</f>
        <v>0</v>
      </c>
      <c r="V57" s="573">
        <f>IFERROR(IF(VLOOKUP(V$2,MODULY_CBA!$B$3:$L$23,8,0)=$D57,SUMIF('Rozpocet - Vyvoj aplikacii'!$B$3:$B$179,'TCO TO BE- SW'!V$2,'Rozpocet - Vyvoj aplikacii'!$I$3:$I$179),0),0)</f>
        <v>0</v>
      </c>
      <c r="W57" s="573">
        <f>IFERROR(IF(VLOOKUP(W$2,MODULY_CBA!$B$3:$L$23,8,0)=$D57,SUMIF('Rozpocet - Vyvoj aplikacii'!$B$3:$B$179,'TCO TO BE- SW'!W$2,'Rozpocet - Vyvoj aplikacii'!$I$3:$I$179),0),0)</f>
        <v>0</v>
      </c>
      <c r="X57" s="573">
        <f>IFERROR(IF(VLOOKUP(X$2,MODULY_CBA!$B$3:$L$23,8,0)=$D57,SUMIF('Rozpocet - Vyvoj aplikacii'!$B$3:$B$179,'TCO TO BE- SW'!X$2,'Rozpocet - Vyvoj aplikacii'!$I$3:$I$179),0),0)</f>
        <v>0</v>
      </c>
      <c r="Y57" s="573">
        <f>IFERROR(IF(VLOOKUP(Y$2,MODULY_CBA!$B$3:$L$23,8,0)=$D57,SUMIF('Rozpocet - Vyvoj aplikacii'!$B$3:$B$179,'TCO TO BE- SW'!Y$2,'Rozpocet - Vyvoj aplikacii'!$I$3:$I$179),0),0)</f>
        <v>0</v>
      </c>
      <c r="Z57" s="573">
        <f>IFERROR(IF(VLOOKUP(Z$2,MODULY_CBA!$B$3:$L$23,8,0)=$D57,SUMIF('Rozpocet - Vyvoj aplikacii'!$B$3:$B$179,'TCO TO BE- SW'!Z$2,'Rozpocet - Vyvoj aplikacii'!$I$3:$I$179),0),0)</f>
        <v>0</v>
      </c>
    </row>
    <row r="58" spans="1:26" outlineLevel="2">
      <c r="A58" s="817"/>
      <c r="B58" s="818"/>
      <c r="C58" s="818"/>
      <c r="D58" s="64">
        <v>2</v>
      </c>
      <c r="E58" s="68">
        <f t="shared" si="7"/>
        <v>1005956.4796303143</v>
      </c>
      <c r="F58" s="574">
        <f>IFERROR(IF(VLOOKUP(F$2,MODULY_CBA!$B$3:$L$23,8,0)=$D58,SUMIF('Rozpocet - Vyvoj aplikacii'!$B$3:$B$179,'TCO TO BE- SW'!F$2,'Rozpocet - Vyvoj aplikacii'!$I$3:$I$179),0),0)</f>
        <v>420626.81545286509</v>
      </c>
      <c r="G58" s="574">
        <f>IFERROR(IF(VLOOKUP(G$2,MODULY_CBA!$B$3:$L$23,8,0)=$D58,SUMIF('Rozpocet - Vyvoj aplikacii'!$B$3:$B$179,'TCO TO BE- SW'!G$2,'Rozpocet - Vyvoj aplikacii'!$I$3:$I$179),0),0)</f>
        <v>29729.249833641406</v>
      </c>
      <c r="H58" s="574">
        <f>IFERROR(IF(VLOOKUP(H$2,MODULY_CBA!$B$3:$L$23,8,0)=$D58,SUMIF('Rozpocet - Vyvoj aplikacii'!$B$3:$B$179,'TCO TO BE- SW'!H$2,'Rozpocet - Vyvoj aplikacii'!$I$3:$I$179),0),0)</f>
        <v>29028.088280961187</v>
      </c>
      <c r="I58" s="574">
        <f>IFERROR(IF(VLOOKUP(I$2,MODULY_CBA!$B$3:$L$23,8,0)=$D58,SUMIF('Rozpocet - Vyvoj aplikacii'!$B$3:$B$179,'TCO TO BE- SW'!I$2,'Rozpocet - Vyvoj aplikacii'!$I$3:$I$179),0),0)</f>
        <v>17388.8065064695</v>
      </c>
      <c r="J58" s="574">
        <f>IFERROR(IF(VLOOKUP(J$2,MODULY_CBA!$B$3:$L$23,8,0)=$D58,SUMIF('Rozpocet - Vyvoj aplikacii'!$B$3:$B$179,'TCO TO BE- SW'!J$2,'Rozpocet - Vyvoj aplikacii'!$I$3:$I$179),0),0)</f>
        <v>29028.088280961187</v>
      </c>
      <c r="K58" s="574">
        <f>IFERROR(IF(VLOOKUP(K$2,MODULY_CBA!$B$3:$L$23,8,0)=$D58,SUMIF('Rozpocet - Vyvoj aplikacii'!$B$3:$B$179,'TCO TO BE- SW'!K$2,'Rozpocet - Vyvoj aplikacii'!$I$3:$I$179),0),0)</f>
        <v>5819.6408872458414</v>
      </c>
      <c r="L58" s="574">
        <f>IFERROR(IF(VLOOKUP(L$2,MODULY_CBA!$B$3:$L$23,8,0)=$D58,SUMIF('Rozpocet - Vyvoj aplikacii'!$B$3:$B$179,'TCO TO BE- SW'!L$2,'Rozpocet - Vyvoj aplikacii'!$I$3:$I$179),0),0)</f>
        <v>0</v>
      </c>
      <c r="M58" s="574">
        <f>IFERROR(IF(VLOOKUP(M$2,MODULY_CBA!$B$3:$L$23,8,0)=$D58,SUMIF('Rozpocet - Vyvoj aplikacii'!$B$3:$B$179,'TCO TO BE- SW'!M$2,'Rozpocet - Vyvoj aplikacii'!$I$3:$I$179),0),0)</f>
        <v>0</v>
      </c>
      <c r="N58" s="574">
        <f>IFERROR(IF(VLOOKUP(N$2,MODULY_CBA!$B$3:$L$23,8,0)=$D58,SUMIF('Rozpocet - Vyvoj aplikacii'!$B$3:$B$179,'TCO TO BE- SW'!N$2,'Rozpocet - Vyvoj aplikacii'!$I$3:$I$179),0),0)</f>
        <v>0</v>
      </c>
      <c r="O58" s="574">
        <f>IFERROR(IF(VLOOKUP(O$2,MODULY_CBA!$B$3:$L$23,8,0)=$D58,SUMIF('Rozpocet - Vyvoj aplikacii'!$B$3:$B$179,'TCO TO BE- SW'!O$2,'Rozpocet - Vyvoj aplikacii'!$I$3:$I$179),0),0)</f>
        <v>0</v>
      </c>
      <c r="P58" s="574">
        <f>IFERROR(IF(VLOOKUP(P$2,MODULY_CBA!$B$3:$L$23,8,0)=$D58,SUMIF('Rozpocet - Vyvoj aplikacii'!$B$3:$B$179,'TCO TO BE- SW'!P$2,'Rozpocet - Vyvoj aplikacii'!$I$3:$I$179),0),0)</f>
        <v>474335.79038817005</v>
      </c>
      <c r="Q58" s="574">
        <f>IFERROR(IF(VLOOKUP(Q$2,MODULY_CBA!$B$3:$L$23,8,0)=$D58,SUMIF('Rozpocet - Vyvoj aplikacii'!$B$3:$B$179,'TCO TO BE- SW'!Q$2,'Rozpocet - Vyvoj aplikacii'!$I$3:$I$179),0),0)</f>
        <v>0</v>
      </c>
      <c r="R58" s="574">
        <f>IFERROR(IF(VLOOKUP(R$2,MODULY_CBA!$B$3:$L$23,8,0)=$D58,SUMIF('Rozpocet - Vyvoj aplikacii'!$B$3:$B$179,'TCO TO BE- SW'!R$2,'Rozpocet - Vyvoj aplikacii'!$I$3:$I$179),0),0)</f>
        <v>0</v>
      </c>
      <c r="S58" s="574">
        <f>IFERROR(IF(VLOOKUP(S$2,MODULY_CBA!$B$3:$L$23,8,0)=$D58,SUMIF('Rozpocet - Vyvoj aplikacii'!$B$3:$B$179,'TCO TO BE- SW'!S$2,'Rozpocet - Vyvoj aplikacii'!$I$3:$I$179),0),0)</f>
        <v>0</v>
      </c>
      <c r="T58" s="574">
        <f>IFERROR(IF(VLOOKUP(T$2,MODULY_CBA!$B$3:$L$23,8,0)=$D58,SUMIF('Rozpocet - Vyvoj aplikacii'!$B$3:$B$179,'TCO TO BE- SW'!T$2,'Rozpocet - Vyvoj aplikacii'!$I$3:$I$179),0),0)</f>
        <v>0</v>
      </c>
      <c r="U58" s="574">
        <f>IFERROR(IF(VLOOKUP(U$2,MODULY_CBA!$B$3:$L$23,8,0)=$D58,SUMIF('Rozpocet - Vyvoj aplikacii'!$B$3:$B$179,'TCO TO BE- SW'!U$2,'Rozpocet - Vyvoj aplikacii'!$I$3:$I$179),0),0)</f>
        <v>0</v>
      </c>
      <c r="V58" s="574">
        <f>IFERROR(IF(VLOOKUP(V$2,MODULY_CBA!$B$3:$L$23,8,0)=$D58,SUMIF('Rozpocet - Vyvoj aplikacii'!$B$3:$B$179,'TCO TO BE- SW'!V$2,'Rozpocet - Vyvoj aplikacii'!$I$3:$I$179),0),0)</f>
        <v>0</v>
      </c>
      <c r="W58" s="574">
        <f>IFERROR(IF(VLOOKUP(W$2,MODULY_CBA!$B$3:$L$23,8,0)=$D58,SUMIF('Rozpocet - Vyvoj aplikacii'!$B$3:$B$179,'TCO TO BE- SW'!W$2,'Rozpocet - Vyvoj aplikacii'!$I$3:$I$179),0),0)</f>
        <v>0</v>
      </c>
      <c r="X58" s="574">
        <f>IFERROR(IF(VLOOKUP(X$2,MODULY_CBA!$B$3:$L$23,8,0)=$D58,SUMIF('Rozpocet - Vyvoj aplikacii'!$B$3:$B$179,'TCO TO BE- SW'!X$2,'Rozpocet - Vyvoj aplikacii'!$I$3:$I$179),0),0)</f>
        <v>0</v>
      </c>
      <c r="Y58" s="574">
        <f>IFERROR(IF(VLOOKUP(Y$2,MODULY_CBA!$B$3:$L$23,8,0)=$D58,SUMIF('Rozpocet - Vyvoj aplikacii'!$B$3:$B$179,'TCO TO BE- SW'!Y$2,'Rozpocet - Vyvoj aplikacii'!$I$3:$I$179),0),0)</f>
        <v>0</v>
      </c>
      <c r="Z58" s="574">
        <f>IFERROR(IF(VLOOKUP(Z$2,MODULY_CBA!$B$3:$L$23,8,0)=$D58,SUMIF('Rozpocet - Vyvoj aplikacii'!$B$3:$B$179,'TCO TO BE- SW'!Z$2,'Rozpocet - Vyvoj aplikacii'!$I$3:$I$179),0),0)</f>
        <v>0</v>
      </c>
    </row>
    <row r="59" spans="1:26" outlineLevel="2">
      <c r="A59" s="817"/>
      <c r="B59" s="818"/>
      <c r="C59" s="818"/>
      <c r="D59" s="64">
        <v>3</v>
      </c>
      <c r="E59" s="68">
        <f t="shared" si="7"/>
        <v>1421745.280369686</v>
      </c>
      <c r="F59" s="574">
        <f>IFERROR(IF(VLOOKUP(F$2,MODULY_CBA!$B$3:$L$23,8,0)=$D59,SUMIF('Rozpocet - Vyvoj aplikacii'!$B$3:$B$179,'TCO TO BE- SW'!F$2,'Rozpocet - Vyvoj aplikacii'!$I$3:$I$179),0),0)</f>
        <v>0</v>
      </c>
      <c r="G59" s="574">
        <f>IFERROR(IF(VLOOKUP(G$2,MODULY_CBA!$B$3:$L$23,8,0)=$D59,SUMIF('Rozpocet - Vyvoj aplikacii'!$B$3:$B$179,'TCO TO BE- SW'!G$2,'Rozpocet - Vyvoj aplikacii'!$I$3:$I$179),0),0)</f>
        <v>0</v>
      </c>
      <c r="H59" s="574">
        <f>IFERROR(IF(VLOOKUP(H$2,MODULY_CBA!$B$3:$L$23,8,0)=$D59,SUMIF('Rozpocet - Vyvoj aplikacii'!$B$3:$B$179,'TCO TO BE- SW'!H$2,'Rozpocet - Vyvoj aplikacii'!$I$3:$I$179),0),0)</f>
        <v>0</v>
      </c>
      <c r="I59" s="574">
        <f>IFERROR(IF(VLOOKUP(I$2,MODULY_CBA!$B$3:$L$23,8,0)=$D59,SUMIF('Rozpocet - Vyvoj aplikacii'!$B$3:$B$179,'TCO TO BE- SW'!I$2,'Rozpocet - Vyvoj aplikacii'!$I$3:$I$179),0),0)</f>
        <v>0</v>
      </c>
      <c r="J59" s="574">
        <f>IFERROR(IF(VLOOKUP(J$2,MODULY_CBA!$B$3:$L$23,8,0)=$D59,SUMIF('Rozpocet - Vyvoj aplikacii'!$B$3:$B$179,'TCO TO BE- SW'!J$2,'Rozpocet - Vyvoj aplikacii'!$I$3:$I$179),0),0)</f>
        <v>0</v>
      </c>
      <c r="K59" s="574">
        <f>IFERROR(IF(VLOOKUP(K$2,MODULY_CBA!$B$3:$L$23,8,0)=$D59,SUMIF('Rozpocet - Vyvoj aplikacii'!$B$3:$B$179,'TCO TO BE- SW'!K$2,'Rozpocet - Vyvoj aplikacii'!$I$3:$I$179),0),0)</f>
        <v>0</v>
      </c>
      <c r="L59" s="574">
        <f>IFERROR(IF(VLOOKUP(L$2,MODULY_CBA!$B$3:$L$23,8,0)=$D59,SUMIF('Rozpocet - Vyvoj aplikacii'!$B$3:$B$179,'TCO TO BE- SW'!L$2,'Rozpocet - Vyvoj aplikacii'!$I$3:$I$179),0),0)</f>
        <v>672413.92902033275</v>
      </c>
      <c r="M59" s="574">
        <f>IFERROR(IF(VLOOKUP(M$2,MODULY_CBA!$B$3:$L$23,8,0)=$D59,SUMIF('Rozpocet - Vyvoj aplikacii'!$B$3:$B$179,'TCO TO BE- SW'!M$2,'Rozpocet - Vyvoj aplikacii'!$I$3:$I$179),0),0)</f>
        <v>134903.48273567468</v>
      </c>
      <c r="N59" s="574">
        <f>IFERROR(IF(VLOOKUP(N$2,MODULY_CBA!$B$3:$L$23,8,0)=$D59,SUMIF('Rozpocet - Vyvoj aplikacii'!$B$3:$B$179,'TCO TO BE- SW'!N$2,'Rozpocet - Vyvoj aplikacii'!$I$3:$I$179),0),0)</f>
        <v>66750.579815157122</v>
      </c>
      <c r="O59" s="574">
        <f>IFERROR(IF(VLOOKUP(O$2,MODULY_CBA!$B$3:$L$23,8,0)=$D59,SUMIF('Rozpocet - Vyvoj aplikacii'!$B$3:$B$179,'TCO TO BE- SW'!O$2,'Rozpocet - Vyvoj aplikacii'!$I$3:$I$179),0),0)</f>
        <v>547677.28879852127</v>
      </c>
      <c r="P59" s="574">
        <f>IFERROR(IF(VLOOKUP(P$2,MODULY_CBA!$B$3:$L$23,8,0)=$D59,SUMIF('Rozpocet - Vyvoj aplikacii'!$B$3:$B$179,'TCO TO BE- SW'!P$2,'Rozpocet - Vyvoj aplikacii'!$I$3:$I$179),0),0)</f>
        <v>0</v>
      </c>
      <c r="Q59" s="574">
        <f>IFERROR(IF(VLOOKUP(Q$2,MODULY_CBA!$B$3:$L$23,8,0)=$D59,SUMIF('Rozpocet - Vyvoj aplikacii'!$B$3:$B$179,'TCO TO BE- SW'!Q$2,'Rozpocet - Vyvoj aplikacii'!$I$3:$I$179),0),0)</f>
        <v>0</v>
      </c>
      <c r="R59" s="574">
        <f>IFERROR(IF(VLOOKUP(R$2,MODULY_CBA!$B$3:$L$23,8,0)=$D59,SUMIF('Rozpocet - Vyvoj aplikacii'!$B$3:$B$179,'TCO TO BE- SW'!R$2,'Rozpocet - Vyvoj aplikacii'!$I$3:$I$179),0),0)</f>
        <v>0</v>
      </c>
      <c r="S59" s="574">
        <f>IFERROR(IF(VLOOKUP(S$2,MODULY_CBA!$B$3:$L$23,8,0)=$D59,SUMIF('Rozpocet - Vyvoj aplikacii'!$B$3:$B$179,'TCO TO BE- SW'!S$2,'Rozpocet - Vyvoj aplikacii'!$I$3:$I$179),0),0)</f>
        <v>0</v>
      </c>
      <c r="T59" s="574">
        <f>IFERROR(IF(VLOOKUP(T$2,MODULY_CBA!$B$3:$L$23,8,0)=$D59,SUMIF('Rozpocet - Vyvoj aplikacii'!$B$3:$B$179,'TCO TO BE- SW'!T$2,'Rozpocet - Vyvoj aplikacii'!$I$3:$I$179),0),0)</f>
        <v>0</v>
      </c>
      <c r="U59" s="574">
        <f>IFERROR(IF(VLOOKUP(U$2,MODULY_CBA!$B$3:$L$23,8,0)=$D59,SUMIF('Rozpocet - Vyvoj aplikacii'!$B$3:$B$179,'TCO TO BE- SW'!U$2,'Rozpocet - Vyvoj aplikacii'!$I$3:$I$179),0),0)</f>
        <v>0</v>
      </c>
      <c r="V59" s="574">
        <f>IFERROR(IF(VLOOKUP(V$2,MODULY_CBA!$B$3:$L$23,8,0)=$D59,SUMIF('Rozpocet - Vyvoj aplikacii'!$B$3:$B$179,'TCO TO BE- SW'!V$2,'Rozpocet - Vyvoj aplikacii'!$I$3:$I$179),0),0)</f>
        <v>0</v>
      </c>
      <c r="W59" s="574">
        <f>IFERROR(IF(VLOOKUP(W$2,MODULY_CBA!$B$3:$L$23,8,0)=$D59,SUMIF('Rozpocet - Vyvoj aplikacii'!$B$3:$B$179,'TCO TO BE- SW'!W$2,'Rozpocet - Vyvoj aplikacii'!$I$3:$I$179),0),0)</f>
        <v>0</v>
      </c>
      <c r="X59" s="574">
        <f>IFERROR(IF(VLOOKUP(X$2,MODULY_CBA!$B$3:$L$23,8,0)=$D59,SUMIF('Rozpocet - Vyvoj aplikacii'!$B$3:$B$179,'TCO TO BE- SW'!X$2,'Rozpocet - Vyvoj aplikacii'!$I$3:$I$179),0),0)</f>
        <v>0</v>
      </c>
      <c r="Y59" s="574">
        <f>IFERROR(IF(VLOOKUP(Y$2,MODULY_CBA!$B$3:$L$23,8,0)=$D59,SUMIF('Rozpocet - Vyvoj aplikacii'!$B$3:$B$179,'TCO TO BE- SW'!Y$2,'Rozpocet - Vyvoj aplikacii'!$I$3:$I$179),0),0)</f>
        <v>0</v>
      </c>
      <c r="Z59" s="574">
        <f>IFERROR(IF(VLOOKUP(Z$2,MODULY_CBA!$B$3:$L$23,8,0)=$D59,SUMIF('Rozpocet - Vyvoj aplikacii'!$B$3:$B$179,'TCO TO BE- SW'!Z$2,'Rozpocet - Vyvoj aplikacii'!$I$3:$I$179),0),0)</f>
        <v>0</v>
      </c>
    </row>
    <row r="60" spans="1:26" outlineLevel="2">
      <c r="A60" s="817"/>
      <c r="B60" s="818"/>
      <c r="C60" s="818"/>
      <c r="D60" s="64">
        <v>4</v>
      </c>
      <c r="E60" s="68">
        <f t="shared" si="7"/>
        <v>0</v>
      </c>
      <c r="F60" s="574">
        <f>IFERROR(IF(VLOOKUP(F$2,MODULY_CBA!$B$3:$L$23,8,0)=$D60,SUMIF('Rozpocet - Vyvoj aplikacii'!$B$3:$B$179,'TCO TO BE- SW'!F$2,'Rozpocet - Vyvoj aplikacii'!$I$3:$I$179),0),0)</f>
        <v>0</v>
      </c>
      <c r="G60" s="574">
        <f>IFERROR(IF(VLOOKUP(G$2,MODULY_CBA!$B$3:$L$23,8,0)=$D60,SUMIF('Rozpocet - Vyvoj aplikacii'!$B$3:$B$179,'TCO TO BE- SW'!G$2,'Rozpocet - Vyvoj aplikacii'!$I$3:$I$179),0),0)</f>
        <v>0</v>
      </c>
      <c r="H60" s="574">
        <f>IFERROR(IF(VLOOKUP(H$2,MODULY_CBA!$B$3:$L$23,8,0)=$D60,SUMIF('Rozpocet - Vyvoj aplikacii'!$B$3:$B$179,'TCO TO BE- SW'!H$2,'Rozpocet - Vyvoj aplikacii'!$I$3:$I$179),0),0)</f>
        <v>0</v>
      </c>
      <c r="I60" s="574">
        <f>IFERROR(IF(VLOOKUP(I$2,MODULY_CBA!$B$3:$L$23,8,0)=$D60,SUMIF('Rozpocet - Vyvoj aplikacii'!$B$3:$B$179,'TCO TO BE- SW'!I$2,'Rozpocet - Vyvoj aplikacii'!$I$3:$I$179),0),0)</f>
        <v>0</v>
      </c>
      <c r="J60" s="574">
        <f>IFERROR(IF(VLOOKUP(J$2,MODULY_CBA!$B$3:$L$23,8,0)=$D60,SUMIF('Rozpocet - Vyvoj aplikacii'!$B$3:$B$179,'TCO TO BE- SW'!J$2,'Rozpocet - Vyvoj aplikacii'!$I$3:$I$179),0),0)</f>
        <v>0</v>
      </c>
      <c r="K60" s="574">
        <f>IFERROR(IF(VLOOKUP(K$2,MODULY_CBA!$B$3:$L$23,8,0)=$D60,SUMIF('Rozpocet - Vyvoj aplikacii'!$B$3:$B$179,'TCO TO BE- SW'!K$2,'Rozpocet - Vyvoj aplikacii'!$I$3:$I$179),0),0)</f>
        <v>0</v>
      </c>
      <c r="L60" s="574">
        <f>IFERROR(IF(VLOOKUP(L$2,MODULY_CBA!$B$3:$L$23,8,0)=$D60,SUMIF('Rozpocet - Vyvoj aplikacii'!$B$3:$B$179,'TCO TO BE- SW'!L$2,'Rozpocet - Vyvoj aplikacii'!$I$3:$I$179),0),0)</f>
        <v>0</v>
      </c>
      <c r="M60" s="574">
        <f>IFERROR(IF(VLOOKUP(M$2,MODULY_CBA!$B$3:$L$23,8,0)=$D60,SUMIF('Rozpocet - Vyvoj aplikacii'!$B$3:$B$179,'TCO TO BE- SW'!M$2,'Rozpocet - Vyvoj aplikacii'!$I$3:$I$179),0),0)</f>
        <v>0</v>
      </c>
      <c r="N60" s="574">
        <f>IFERROR(IF(VLOOKUP(N$2,MODULY_CBA!$B$3:$L$23,8,0)=$D60,SUMIF('Rozpocet - Vyvoj aplikacii'!$B$3:$B$179,'TCO TO BE- SW'!N$2,'Rozpocet - Vyvoj aplikacii'!$I$3:$I$179),0),0)</f>
        <v>0</v>
      </c>
      <c r="O60" s="574">
        <f>IFERROR(IF(VLOOKUP(O$2,MODULY_CBA!$B$3:$L$23,8,0)=$D60,SUMIF('Rozpocet - Vyvoj aplikacii'!$B$3:$B$179,'TCO TO BE- SW'!O$2,'Rozpocet - Vyvoj aplikacii'!$I$3:$I$179),0),0)</f>
        <v>0</v>
      </c>
      <c r="P60" s="574">
        <f>IFERROR(IF(VLOOKUP(P$2,MODULY_CBA!$B$3:$L$23,8,0)=$D60,SUMIF('Rozpocet - Vyvoj aplikacii'!$B$3:$B$179,'TCO TO BE- SW'!P$2,'Rozpocet - Vyvoj aplikacii'!$I$3:$I$179),0),0)</f>
        <v>0</v>
      </c>
      <c r="Q60" s="574">
        <f>IFERROR(IF(VLOOKUP(Q$2,MODULY_CBA!$B$3:$L$23,8,0)=$D60,SUMIF('Rozpocet - Vyvoj aplikacii'!$B$3:$B$179,'TCO TO BE- SW'!Q$2,'Rozpocet - Vyvoj aplikacii'!$I$3:$I$179),0),0)</f>
        <v>0</v>
      </c>
      <c r="R60" s="574">
        <f>IFERROR(IF(VLOOKUP(R$2,MODULY_CBA!$B$3:$L$23,8,0)=$D60,SUMIF('Rozpocet - Vyvoj aplikacii'!$B$3:$B$179,'TCO TO BE- SW'!R$2,'Rozpocet - Vyvoj aplikacii'!$I$3:$I$179),0),0)</f>
        <v>0</v>
      </c>
      <c r="S60" s="574">
        <f>IFERROR(IF(VLOOKUP(S$2,MODULY_CBA!$B$3:$L$23,8,0)=$D60,SUMIF('Rozpocet - Vyvoj aplikacii'!$B$3:$B$179,'TCO TO BE- SW'!S$2,'Rozpocet - Vyvoj aplikacii'!$I$3:$I$179),0),0)</f>
        <v>0</v>
      </c>
      <c r="T60" s="574">
        <f>IFERROR(IF(VLOOKUP(T$2,MODULY_CBA!$B$3:$L$23,8,0)=$D60,SUMIF('Rozpocet - Vyvoj aplikacii'!$B$3:$B$179,'TCO TO BE- SW'!T$2,'Rozpocet - Vyvoj aplikacii'!$I$3:$I$179),0),0)</f>
        <v>0</v>
      </c>
      <c r="U60" s="574">
        <f>IFERROR(IF(VLOOKUP(U$2,MODULY_CBA!$B$3:$L$23,8,0)=$D60,SUMIF('Rozpocet - Vyvoj aplikacii'!$B$3:$B$179,'TCO TO BE- SW'!U$2,'Rozpocet - Vyvoj aplikacii'!$I$3:$I$179),0),0)</f>
        <v>0</v>
      </c>
      <c r="V60" s="574">
        <f>IFERROR(IF(VLOOKUP(V$2,MODULY_CBA!$B$3:$L$23,8,0)=$D60,SUMIF('Rozpocet - Vyvoj aplikacii'!$B$3:$B$179,'TCO TO BE- SW'!V$2,'Rozpocet - Vyvoj aplikacii'!$I$3:$I$179),0),0)</f>
        <v>0</v>
      </c>
      <c r="W60" s="574">
        <f>IFERROR(IF(VLOOKUP(W$2,MODULY_CBA!$B$3:$L$23,8,0)=$D60,SUMIF('Rozpocet - Vyvoj aplikacii'!$B$3:$B$179,'TCO TO BE- SW'!W$2,'Rozpocet - Vyvoj aplikacii'!$I$3:$I$179),0),0)</f>
        <v>0</v>
      </c>
      <c r="X60" s="574">
        <f>IFERROR(IF(VLOOKUP(X$2,MODULY_CBA!$B$3:$L$23,8,0)=$D60,SUMIF('Rozpocet - Vyvoj aplikacii'!$B$3:$B$179,'TCO TO BE- SW'!X$2,'Rozpocet - Vyvoj aplikacii'!$I$3:$I$179),0),0)</f>
        <v>0</v>
      </c>
      <c r="Y60" s="574">
        <f>IFERROR(IF(VLOOKUP(Y$2,MODULY_CBA!$B$3:$L$23,8,0)=$D60,SUMIF('Rozpocet - Vyvoj aplikacii'!$B$3:$B$179,'TCO TO BE- SW'!Y$2,'Rozpocet - Vyvoj aplikacii'!$I$3:$I$179),0),0)</f>
        <v>0</v>
      </c>
      <c r="Z60" s="574">
        <f>IFERROR(IF(VLOOKUP(Z$2,MODULY_CBA!$B$3:$L$23,8,0)=$D60,SUMIF('Rozpocet - Vyvoj aplikacii'!$B$3:$B$179,'TCO TO BE- SW'!Z$2,'Rozpocet - Vyvoj aplikacii'!$I$3:$I$179),0),0)</f>
        <v>0</v>
      </c>
    </row>
    <row r="61" spans="1:26" outlineLevel="2">
      <c r="A61" s="817"/>
      <c r="B61" s="818"/>
      <c r="C61" s="818"/>
      <c r="D61" s="64">
        <v>5</v>
      </c>
      <c r="E61" s="68">
        <f t="shared" si="7"/>
        <v>0</v>
      </c>
      <c r="F61" s="574">
        <f>IFERROR(IF(VLOOKUP(F$2,MODULY_CBA!$B$3:$L$23,8,0)=$D61,SUMIF('Rozpocet - Vyvoj aplikacii'!$B$3:$B$179,'TCO TO BE- SW'!F$2,'Rozpocet - Vyvoj aplikacii'!$I$3:$I$179),0),0)</f>
        <v>0</v>
      </c>
      <c r="G61" s="574">
        <f>IFERROR(IF(VLOOKUP(G$2,MODULY_CBA!$B$3:$L$23,8,0)=$D61,SUMIF('Rozpocet - Vyvoj aplikacii'!$B$3:$B$179,'TCO TO BE- SW'!G$2,'Rozpocet - Vyvoj aplikacii'!$I$3:$I$179),0),0)</f>
        <v>0</v>
      </c>
      <c r="H61" s="574">
        <f>IFERROR(IF(VLOOKUP(H$2,MODULY_CBA!$B$3:$L$23,8,0)=$D61,SUMIF('Rozpocet - Vyvoj aplikacii'!$B$3:$B$179,'TCO TO BE- SW'!H$2,'Rozpocet - Vyvoj aplikacii'!$I$3:$I$179),0),0)</f>
        <v>0</v>
      </c>
      <c r="I61" s="574">
        <f>IFERROR(IF(VLOOKUP(I$2,MODULY_CBA!$B$3:$L$23,8,0)=$D61,SUMIF('Rozpocet - Vyvoj aplikacii'!$B$3:$B$179,'TCO TO BE- SW'!I$2,'Rozpocet - Vyvoj aplikacii'!$I$3:$I$179),0),0)</f>
        <v>0</v>
      </c>
      <c r="J61" s="574">
        <f>IFERROR(IF(VLOOKUP(J$2,MODULY_CBA!$B$3:$L$23,8,0)=$D61,SUMIF('Rozpocet - Vyvoj aplikacii'!$B$3:$B$179,'TCO TO BE- SW'!J$2,'Rozpocet - Vyvoj aplikacii'!$I$3:$I$179),0),0)</f>
        <v>0</v>
      </c>
      <c r="K61" s="574">
        <f>IFERROR(IF(VLOOKUP(K$2,MODULY_CBA!$B$3:$L$23,8,0)=$D61,SUMIF('Rozpocet - Vyvoj aplikacii'!$B$3:$B$179,'TCO TO BE- SW'!K$2,'Rozpocet - Vyvoj aplikacii'!$I$3:$I$179),0),0)</f>
        <v>0</v>
      </c>
      <c r="L61" s="574">
        <f>IFERROR(IF(VLOOKUP(L$2,MODULY_CBA!$B$3:$L$23,8,0)=$D61,SUMIF('Rozpocet - Vyvoj aplikacii'!$B$3:$B$179,'TCO TO BE- SW'!L$2,'Rozpocet - Vyvoj aplikacii'!$I$3:$I$179),0),0)</f>
        <v>0</v>
      </c>
      <c r="M61" s="574">
        <f>IFERROR(IF(VLOOKUP(M$2,MODULY_CBA!$B$3:$L$23,8,0)=$D61,SUMIF('Rozpocet - Vyvoj aplikacii'!$B$3:$B$179,'TCO TO BE- SW'!M$2,'Rozpocet - Vyvoj aplikacii'!$I$3:$I$179),0),0)</f>
        <v>0</v>
      </c>
      <c r="N61" s="574">
        <f>IFERROR(IF(VLOOKUP(N$2,MODULY_CBA!$B$3:$L$23,8,0)=$D61,SUMIF('Rozpocet - Vyvoj aplikacii'!$B$3:$B$179,'TCO TO BE- SW'!N$2,'Rozpocet - Vyvoj aplikacii'!$I$3:$I$179),0),0)</f>
        <v>0</v>
      </c>
      <c r="O61" s="574">
        <f>IFERROR(IF(VLOOKUP(O$2,MODULY_CBA!$B$3:$L$23,8,0)=$D61,SUMIF('Rozpocet - Vyvoj aplikacii'!$B$3:$B$179,'TCO TO BE- SW'!O$2,'Rozpocet - Vyvoj aplikacii'!$I$3:$I$179),0),0)</f>
        <v>0</v>
      </c>
      <c r="P61" s="574">
        <f>IFERROR(IF(VLOOKUP(P$2,MODULY_CBA!$B$3:$L$23,8,0)=$D61,SUMIF('Rozpocet - Vyvoj aplikacii'!$B$3:$B$179,'TCO TO BE- SW'!P$2,'Rozpocet - Vyvoj aplikacii'!$I$3:$I$179),0),0)</f>
        <v>0</v>
      </c>
      <c r="Q61" s="574">
        <f>IFERROR(IF(VLOOKUP(Q$2,MODULY_CBA!$B$3:$L$23,8,0)=$D61,SUMIF('Rozpocet - Vyvoj aplikacii'!$B$3:$B$179,'TCO TO BE- SW'!Q$2,'Rozpocet - Vyvoj aplikacii'!$I$3:$I$179),0),0)</f>
        <v>0</v>
      </c>
      <c r="R61" s="574">
        <f>IFERROR(IF(VLOOKUP(R$2,MODULY_CBA!$B$3:$L$23,8,0)=$D61,SUMIF('Rozpocet - Vyvoj aplikacii'!$B$3:$B$179,'TCO TO BE- SW'!R$2,'Rozpocet - Vyvoj aplikacii'!$I$3:$I$179),0),0)</f>
        <v>0</v>
      </c>
      <c r="S61" s="574">
        <f>IFERROR(IF(VLOOKUP(S$2,MODULY_CBA!$B$3:$L$23,8,0)=$D61,SUMIF('Rozpocet - Vyvoj aplikacii'!$B$3:$B$179,'TCO TO BE- SW'!S$2,'Rozpocet - Vyvoj aplikacii'!$I$3:$I$179),0),0)</f>
        <v>0</v>
      </c>
      <c r="T61" s="574">
        <f>IFERROR(IF(VLOOKUP(T$2,MODULY_CBA!$B$3:$L$23,8,0)=$D61,SUMIF('Rozpocet - Vyvoj aplikacii'!$B$3:$B$179,'TCO TO BE- SW'!T$2,'Rozpocet - Vyvoj aplikacii'!$I$3:$I$179),0),0)</f>
        <v>0</v>
      </c>
      <c r="U61" s="574">
        <f>IFERROR(IF(VLOOKUP(U$2,MODULY_CBA!$B$3:$L$23,8,0)=$D61,SUMIF('Rozpocet - Vyvoj aplikacii'!$B$3:$B$179,'TCO TO BE- SW'!U$2,'Rozpocet - Vyvoj aplikacii'!$I$3:$I$179),0),0)</f>
        <v>0</v>
      </c>
      <c r="V61" s="574">
        <f>IFERROR(IF(VLOOKUP(V$2,MODULY_CBA!$B$3:$L$23,8,0)=$D61,SUMIF('Rozpocet - Vyvoj aplikacii'!$B$3:$B$179,'TCO TO BE- SW'!V$2,'Rozpocet - Vyvoj aplikacii'!$I$3:$I$179),0),0)</f>
        <v>0</v>
      </c>
      <c r="W61" s="574">
        <f>IFERROR(IF(VLOOKUP(W$2,MODULY_CBA!$B$3:$L$23,8,0)=$D61,SUMIF('Rozpocet - Vyvoj aplikacii'!$B$3:$B$179,'TCO TO BE- SW'!W$2,'Rozpocet - Vyvoj aplikacii'!$I$3:$I$179),0),0)</f>
        <v>0</v>
      </c>
      <c r="X61" s="574">
        <f>IFERROR(IF(VLOOKUP(X$2,MODULY_CBA!$B$3:$L$23,8,0)=$D61,SUMIF('Rozpocet - Vyvoj aplikacii'!$B$3:$B$179,'TCO TO BE- SW'!X$2,'Rozpocet - Vyvoj aplikacii'!$I$3:$I$179),0),0)</f>
        <v>0</v>
      </c>
      <c r="Y61" s="574">
        <f>IFERROR(IF(VLOOKUP(Y$2,MODULY_CBA!$B$3:$L$23,8,0)=$D61,SUMIF('Rozpocet - Vyvoj aplikacii'!$B$3:$B$179,'TCO TO BE- SW'!Y$2,'Rozpocet - Vyvoj aplikacii'!$I$3:$I$179),0),0)</f>
        <v>0</v>
      </c>
      <c r="Z61" s="574">
        <f>IFERROR(IF(VLOOKUP(Z$2,MODULY_CBA!$B$3:$L$23,8,0)=$D61,SUMIF('Rozpocet - Vyvoj aplikacii'!$B$3:$B$179,'TCO TO BE- SW'!Z$2,'Rozpocet - Vyvoj aplikacii'!$I$3:$I$179),0),0)</f>
        <v>0</v>
      </c>
    </row>
    <row r="62" spans="1:26" outlineLevel="2">
      <c r="A62" s="817"/>
      <c r="B62" s="818"/>
      <c r="C62" s="818"/>
      <c r="D62" s="64">
        <v>6</v>
      </c>
      <c r="E62" s="68">
        <f t="shared" si="7"/>
        <v>0</v>
      </c>
      <c r="F62" s="574">
        <f>IFERROR(IF(VLOOKUP(F$2,MODULY_CBA!$B$3:$L$23,8,0)=$D62,SUMIF('Rozpocet - Vyvoj aplikacii'!$B$3:$B$179,'TCO TO BE- SW'!F$2,'Rozpocet - Vyvoj aplikacii'!$I$3:$I$179),0),0)</f>
        <v>0</v>
      </c>
      <c r="G62" s="574">
        <f>IFERROR(IF(VLOOKUP(G$2,MODULY_CBA!$B$3:$L$23,8,0)=$D62,SUMIF('Rozpocet - Vyvoj aplikacii'!$B$3:$B$179,'TCO TO BE- SW'!G$2,'Rozpocet - Vyvoj aplikacii'!$I$3:$I$179),0),0)</f>
        <v>0</v>
      </c>
      <c r="H62" s="574">
        <f>IFERROR(IF(VLOOKUP(H$2,MODULY_CBA!$B$3:$L$23,8,0)=$D62,SUMIF('Rozpocet - Vyvoj aplikacii'!$B$3:$B$179,'TCO TO BE- SW'!H$2,'Rozpocet - Vyvoj aplikacii'!$I$3:$I$179),0),0)</f>
        <v>0</v>
      </c>
      <c r="I62" s="574">
        <f>IFERROR(IF(VLOOKUP(I$2,MODULY_CBA!$B$3:$L$23,8,0)=$D62,SUMIF('Rozpocet - Vyvoj aplikacii'!$B$3:$B$179,'TCO TO BE- SW'!I$2,'Rozpocet - Vyvoj aplikacii'!$I$3:$I$179),0),0)</f>
        <v>0</v>
      </c>
      <c r="J62" s="574">
        <f>IFERROR(IF(VLOOKUP(J$2,MODULY_CBA!$B$3:$L$23,8,0)=$D62,SUMIF('Rozpocet - Vyvoj aplikacii'!$B$3:$B$179,'TCO TO BE- SW'!J$2,'Rozpocet - Vyvoj aplikacii'!$I$3:$I$179),0),0)</f>
        <v>0</v>
      </c>
      <c r="K62" s="574">
        <f>IFERROR(IF(VLOOKUP(K$2,MODULY_CBA!$B$3:$L$23,8,0)=$D62,SUMIF('Rozpocet - Vyvoj aplikacii'!$B$3:$B$179,'TCO TO BE- SW'!K$2,'Rozpocet - Vyvoj aplikacii'!$I$3:$I$179),0),0)</f>
        <v>0</v>
      </c>
      <c r="L62" s="574">
        <f>IFERROR(IF(VLOOKUP(L$2,MODULY_CBA!$B$3:$L$23,8,0)=$D62,SUMIF('Rozpocet - Vyvoj aplikacii'!$B$3:$B$179,'TCO TO BE- SW'!L$2,'Rozpocet - Vyvoj aplikacii'!$I$3:$I$179),0),0)</f>
        <v>0</v>
      </c>
      <c r="M62" s="574">
        <f>IFERROR(IF(VLOOKUP(M$2,MODULY_CBA!$B$3:$L$23,8,0)=$D62,SUMIF('Rozpocet - Vyvoj aplikacii'!$B$3:$B$179,'TCO TO BE- SW'!M$2,'Rozpocet - Vyvoj aplikacii'!$I$3:$I$179),0),0)</f>
        <v>0</v>
      </c>
      <c r="N62" s="574">
        <f>IFERROR(IF(VLOOKUP(N$2,MODULY_CBA!$B$3:$L$23,8,0)=$D62,SUMIF('Rozpocet - Vyvoj aplikacii'!$B$3:$B$179,'TCO TO BE- SW'!N$2,'Rozpocet - Vyvoj aplikacii'!$I$3:$I$179),0),0)</f>
        <v>0</v>
      </c>
      <c r="O62" s="574">
        <f>IFERROR(IF(VLOOKUP(O$2,MODULY_CBA!$B$3:$L$23,8,0)=$D62,SUMIF('Rozpocet - Vyvoj aplikacii'!$B$3:$B$179,'TCO TO BE- SW'!O$2,'Rozpocet - Vyvoj aplikacii'!$I$3:$I$179),0),0)</f>
        <v>0</v>
      </c>
      <c r="P62" s="574">
        <f>IFERROR(IF(VLOOKUP(P$2,MODULY_CBA!$B$3:$L$23,8,0)=$D62,SUMIF('Rozpocet - Vyvoj aplikacii'!$B$3:$B$179,'TCO TO BE- SW'!P$2,'Rozpocet - Vyvoj aplikacii'!$I$3:$I$179),0),0)</f>
        <v>0</v>
      </c>
      <c r="Q62" s="574">
        <f>IFERROR(IF(VLOOKUP(Q$2,MODULY_CBA!$B$3:$L$23,8,0)=$D62,SUMIF('Rozpocet - Vyvoj aplikacii'!$B$3:$B$179,'TCO TO BE- SW'!Q$2,'Rozpocet - Vyvoj aplikacii'!$I$3:$I$179),0),0)</f>
        <v>0</v>
      </c>
      <c r="R62" s="574">
        <f>IFERROR(IF(VLOOKUP(R$2,MODULY_CBA!$B$3:$L$23,8,0)=$D62,SUMIF('Rozpocet - Vyvoj aplikacii'!$B$3:$B$179,'TCO TO BE- SW'!R$2,'Rozpocet - Vyvoj aplikacii'!$I$3:$I$179),0),0)</f>
        <v>0</v>
      </c>
      <c r="S62" s="574">
        <f>IFERROR(IF(VLOOKUP(S$2,MODULY_CBA!$B$3:$L$23,8,0)=$D62,SUMIF('Rozpocet - Vyvoj aplikacii'!$B$3:$B$179,'TCO TO BE- SW'!S$2,'Rozpocet - Vyvoj aplikacii'!$I$3:$I$179),0),0)</f>
        <v>0</v>
      </c>
      <c r="T62" s="574">
        <f>IFERROR(IF(VLOOKUP(T$2,MODULY_CBA!$B$3:$L$23,8,0)=$D62,SUMIF('Rozpocet - Vyvoj aplikacii'!$B$3:$B$179,'TCO TO BE- SW'!T$2,'Rozpocet - Vyvoj aplikacii'!$I$3:$I$179),0),0)</f>
        <v>0</v>
      </c>
      <c r="U62" s="574">
        <f>IFERROR(IF(VLOOKUP(U$2,MODULY_CBA!$B$3:$L$23,8,0)=$D62,SUMIF('Rozpocet - Vyvoj aplikacii'!$B$3:$B$179,'TCO TO BE- SW'!U$2,'Rozpocet - Vyvoj aplikacii'!$I$3:$I$179),0),0)</f>
        <v>0</v>
      </c>
      <c r="V62" s="574">
        <f>IFERROR(IF(VLOOKUP(V$2,MODULY_CBA!$B$3:$L$23,8,0)=$D62,SUMIF('Rozpocet - Vyvoj aplikacii'!$B$3:$B$179,'TCO TO BE- SW'!V$2,'Rozpocet - Vyvoj aplikacii'!$I$3:$I$179),0),0)</f>
        <v>0</v>
      </c>
      <c r="W62" s="574">
        <f>IFERROR(IF(VLOOKUP(W$2,MODULY_CBA!$B$3:$L$23,8,0)=$D62,SUMIF('Rozpocet - Vyvoj aplikacii'!$B$3:$B$179,'TCO TO BE- SW'!W$2,'Rozpocet - Vyvoj aplikacii'!$I$3:$I$179),0),0)</f>
        <v>0</v>
      </c>
      <c r="X62" s="574">
        <f>IFERROR(IF(VLOOKUP(X$2,MODULY_CBA!$B$3:$L$23,8,0)=$D62,SUMIF('Rozpocet - Vyvoj aplikacii'!$B$3:$B$179,'TCO TO BE- SW'!X$2,'Rozpocet - Vyvoj aplikacii'!$I$3:$I$179),0),0)</f>
        <v>0</v>
      </c>
      <c r="Y62" s="574">
        <f>IFERROR(IF(VLOOKUP(Y$2,MODULY_CBA!$B$3:$L$23,8,0)=$D62,SUMIF('Rozpocet - Vyvoj aplikacii'!$B$3:$B$179,'TCO TO BE- SW'!Y$2,'Rozpocet - Vyvoj aplikacii'!$I$3:$I$179),0),0)</f>
        <v>0</v>
      </c>
      <c r="Z62" s="574">
        <f>IFERROR(IF(VLOOKUP(Z$2,MODULY_CBA!$B$3:$L$23,8,0)=$D62,SUMIF('Rozpocet - Vyvoj aplikacii'!$B$3:$B$179,'TCO TO BE- SW'!Z$2,'Rozpocet - Vyvoj aplikacii'!$I$3:$I$179),0),0)</f>
        <v>0</v>
      </c>
    </row>
    <row r="63" spans="1:26" outlineLevel="2">
      <c r="A63" s="817"/>
      <c r="B63" s="818"/>
      <c r="C63" s="818"/>
      <c r="D63" s="64">
        <v>7</v>
      </c>
      <c r="E63" s="68">
        <f t="shared" si="7"/>
        <v>0</v>
      </c>
      <c r="F63" s="574">
        <f>IFERROR(IF(VLOOKUP(F$2,MODULY_CBA!$B$3:$L$23,8,0)=$D63,SUMIF('Rozpocet - Vyvoj aplikacii'!$B$3:$B$179,'TCO TO BE- SW'!F$2,'Rozpocet - Vyvoj aplikacii'!$I$3:$I$179),0),0)</f>
        <v>0</v>
      </c>
      <c r="G63" s="574">
        <f>IFERROR(IF(VLOOKUP(G$2,MODULY_CBA!$B$3:$L$23,8,0)=$D63,SUMIF('Rozpocet - Vyvoj aplikacii'!$B$3:$B$179,'TCO TO BE- SW'!G$2,'Rozpocet - Vyvoj aplikacii'!$I$3:$I$179),0),0)</f>
        <v>0</v>
      </c>
      <c r="H63" s="574">
        <f>IFERROR(IF(VLOOKUP(H$2,MODULY_CBA!$B$3:$L$23,8,0)=$D63,SUMIF('Rozpocet - Vyvoj aplikacii'!$B$3:$B$179,'TCO TO BE- SW'!H$2,'Rozpocet - Vyvoj aplikacii'!$I$3:$I$179),0),0)</f>
        <v>0</v>
      </c>
      <c r="I63" s="574">
        <f>IFERROR(IF(VLOOKUP(I$2,MODULY_CBA!$B$3:$L$23,8,0)=$D63,SUMIF('Rozpocet - Vyvoj aplikacii'!$B$3:$B$179,'TCO TO BE- SW'!I$2,'Rozpocet - Vyvoj aplikacii'!$I$3:$I$179),0),0)</f>
        <v>0</v>
      </c>
      <c r="J63" s="574">
        <f>IFERROR(IF(VLOOKUP(J$2,MODULY_CBA!$B$3:$L$23,8,0)=$D63,SUMIF('Rozpocet - Vyvoj aplikacii'!$B$3:$B$179,'TCO TO BE- SW'!J$2,'Rozpocet - Vyvoj aplikacii'!$I$3:$I$179),0),0)</f>
        <v>0</v>
      </c>
      <c r="K63" s="574">
        <f>IFERROR(IF(VLOOKUP(K$2,MODULY_CBA!$B$3:$L$23,8,0)=$D63,SUMIF('Rozpocet - Vyvoj aplikacii'!$B$3:$B$179,'TCO TO BE- SW'!K$2,'Rozpocet - Vyvoj aplikacii'!$I$3:$I$179),0),0)</f>
        <v>0</v>
      </c>
      <c r="L63" s="574">
        <f>IFERROR(IF(VLOOKUP(L$2,MODULY_CBA!$B$3:$L$23,8,0)=$D63,SUMIF('Rozpocet - Vyvoj aplikacii'!$B$3:$B$179,'TCO TO BE- SW'!L$2,'Rozpocet - Vyvoj aplikacii'!$I$3:$I$179),0),0)</f>
        <v>0</v>
      </c>
      <c r="M63" s="574">
        <f>IFERROR(IF(VLOOKUP(M$2,MODULY_CBA!$B$3:$L$23,8,0)=$D63,SUMIF('Rozpocet - Vyvoj aplikacii'!$B$3:$B$179,'TCO TO BE- SW'!M$2,'Rozpocet - Vyvoj aplikacii'!$I$3:$I$179),0),0)</f>
        <v>0</v>
      </c>
      <c r="N63" s="574">
        <f>IFERROR(IF(VLOOKUP(N$2,MODULY_CBA!$B$3:$L$23,8,0)=$D63,SUMIF('Rozpocet - Vyvoj aplikacii'!$B$3:$B$179,'TCO TO BE- SW'!N$2,'Rozpocet - Vyvoj aplikacii'!$I$3:$I$179),0),0)</f>
        <v>0</v>
      </c>
      <c r="O63" s="574">
        <f>IFERROR(IF(VLOOKUP(O$2,MODULY_CBA!$B$3:$L$23,8,0)=$D63,SUMIF('Rozpocet - Vyvoj aplikacii'!$B$3:$B$179,'TCO TO BE- SW'!O$2,'Rozpocet - Vyvoj aplikacii'!$I$3:$I$179),0),0)</f>
        <v>0</v>
      </c>
      <c r="P63" s="574">
        <f>IFERROR(IF(VLOOKUP(P$2,MODULY_CBA!$B$3:$L$23,8,0)=$D63,SUMIF('Rozpocet - Vyvoj aplikacii'!$B$3:$B$179,'TCO TO BE- SW'!P$2,'Rozpocet - Vyvoj aplikacii'!$I$3:$I$179),0),0)</f>
        <v>0</v>
      </c>
      <c r="Q63" s="574">
        <f>IFERROR(IF(VLOOKUP(Q$2,MODULY_CBA!$B$3:$L$23,8,0)=$D63,SUMIF('Rozpocet - Vyvoj aplikacii'!$B$3:$B$179,'TCO TO BE- SW'!Q$2,'Rozpocet - Vyvoj aplikacii'!$I$3:$I$179),0),0)</f>
        <v>0</v>
      </c>
      <c r="R63" s="574">
        <f>IFERROR(IF(VLOOKUP(R$2,MODULY_CBA!$B$3:$L$23,8,0)=$D63,SUMIF('Rozpocet - Vyvoj aplikacii'!$B$3:$B$179,'TCO TO BE- SW'!R$2,'Rozpocet - Vyvoj aplikacii'!$I$3:$I$179),0),0)</f>
        <v>0</v>
      </c>
      <c r="S63" s="574">
        <f>IFERROR(IF(VLOOKUP(S$2,MODULY_CBA!$B$3:$L$23,8,0)=$D63,SUMIF('Rozpocet - Vyvoj aplikacii'!$B$3:$B$179,'TCO TO BE- SW'!S$2,'Rozpocet - Vyvoj aplikacii'!$I$3:$I$179),0),0)</f>
        <v>0</v>
      </c>
      <c r="T63" s="574">
        <f>IFERROR(IF(VLOOKUP(T$2,MODULY_CBA!$B$3:$L$23,8,0)=$D63,SUMIF('Rozpocet - Vyvoj aplikacii'!$B$3:$B$179,'TCO TO BE- SW'!T$2,'Rozpocet - Vyvoj aplikacii'!$I$3:$I$179),0),0)</f>
        <v>0</v>
      </c>
      <c r="U63" s="574">
        <f>IFERROR(IF(VLOOKUP(U$2,MODULY_CBA!$B$3:$L$23,8,0)=$D63,SUMIF('Rozpocet - Vyvoj aplikacii'!$B$3:$B$179,'TCO TO BE- SW'!U$2,'Rozpocet - Vyvoj aplikacii'!$I$3:$I$179),0),0)</f>
        <v>0</v>
      </c>
      <c r="V63" s="574">
        <f>IFERROR(IF(VLOOKUP(V$2,MODULY_CBA!$B$3:$L$23,8,0)=$D63,SUMIF('Rozpocet - Vyvoj aplikacii'!$B$3:$B$179,'TCO TO BE- SW'!V$2,'Rozpocet - Vyvoj aplikacii'!$I$3:$I$179),0),0)</f>
        <v>0</v>
      </c>
      <c r="W63" s="574">
        <f>IFERROR(IF(VLOOKUP(W$2,MODULY_CBA!$B$3:$L$23,8,0)=$D63,SUMIF('Rozpocet - Vyvoj aplikacii'!$B$3:$B$179,'TCO TO BE- SW'!W$2,'Rozpocet - Vyvoj aplikacii'!$I$3:$I$179),0),0)</f>
        <v>0</v>
      </c>
      <c r="X63" s="574">
        <f>IFERROR(IF(VLOOKUP(X$2,MODULY_CBA!$B$3:$L$23,8,0)=$D63,SUMIF('Rozpocet - Vyvoj aplikacii'!$B$3:$B$179,'TCO TO BE- SW'!X$2,'Rozpocet - Vyvoj aplikacii'!$I$3:$I$179),0),0)</f>
        <v>0</v>
      </c>
      <c r="Y63" s="574">
        <f>IFERROR(IF(VLOOKUP(Y$2,MODULY_CBA!$B$3:$L$23,8,0)=$D63,SUMIF('Rozpocet - Vyvoj aplikacii'!$B$3:$B$179,'TCO TO BE- SW'!Y$2,'Rozpocet - Vyvoj aplikacii'!$I$3:$I$179),0),0)</f>
        <v>0</v>
      </c>
      <c r="Z63" s="574">
        <f>IFERROR(IF(VLOOKUP(Z$2,MODULY_CBA!$B$3:$L$23,8,0)=$D63,SUMIF('Rozpocet - Vyvoj aplikacii'!$B$3:$B$179,'TCO TO BE- SW'!Z$2,'Rozpocet - Vyvoj aplikacii'!$I$3:$I$179),0),0)</f>
        <v>0</v>
      </c>
    </row>
    <row r="64" spans="1:26" outlineLevel="2">
      <c r="A64" s="817"/>
      <c r="B64" s="818"/>
      <c r="C64" s="818"/>
      <c r="D64" s="64">
        <v>8</v>
      </c>
      <c r="E64" s="68">
        <f t="shared" si="7"/>
        <v>0</v>
      </c>
      <c r="F64" s="574">
        <f>IFERROR(IF(VLOOKUP(F$2,MODULY_CBA!$B$3:$L$23,8,0)=$D64,SUMIF('Rozpocet - Vyvoj aplikacii'!$B$3:$B$179,'TCO TO BE- SW'!F$2,'Rozpocet - Vyvoj aplikacii'!$I$3:$I$179),0),0)</f>
        <v>0</v>
      </c>
      <c r="G64" s="574">
        <f>IFERROR(IF(VLOOKUP(G$2,MODULY_CBA!$B$3:$L$23,8,0)=$D64,SUMIF('Rozpocet - Vyvoj aplikacii'!$B$3:$B$179,'TCO TO BE- SW'!G$2,'Rozpocet - Vyvoj aplikacii'!$I$3:$I$179),0),0)</f>
        <v>0</v>
      </c>
      <c r="H64" s="574">
        <f>IFERROR(IF(VLOOKUP(H$2,MODULY_CBA!$B$3:$L$23,8,0)=$D64,SUMIF('Rozpocet - Vyvoj aplikacii'!$B$3:$B$179,'TCO TO BE- SW'!H$2,'Rozpocet - Vyvoj aplikacii'!$I$3:$I$179),0),0)</f>
        <v>0</v>
      </c>
      <c r="I64" s="574">
        <f>IFERROR(IF(VLOOKUP(I$2,MODULY_CBA!$B$3:$L$23,8,0)=$D64,SUMIF('Rozpocet - Vyvoj aplikacii'!$B$3:$B$179,'TCO TO BE- SW'!I$2,'Rozpocet - Vyvoj aplikacii'!$I$3:$I$179),0),0)</f>
        <v>0</v>
      </c>
      <c r="J64" s="574">
        <f>IFERROR(IF(VLOOKUP(J$2,MODULY_CBA!$B$3:$L$23,8,0)=$D64,SUMIF('Rozpocet - Vyvoj aplikacii'!$B$3:$B$179,'TCO TO BE- SW'!J$2,'Rozpocet - Vyvoj aplikacii'!$I$3:$I$179),0),0)</f>
        <v>0</v>
      </c>
      <c r="K64" s="574">
        <f>IFERROR(IF(VLOOKUP(K$2,MODULY_CBA!$B$3:$L$23,8,0)=$D64,SUMIF('Rozpocet - Vyvoj aplikacii'!$B$3:$B$179,'TCO TO BE- SW'!K$2,'Rozpocet - Vyvoj aplikacii'!$I$3:$I$179),0),0)</f>
        <v>0</v>
      </c>
      <c r="L64" s="574">
        <f>IFERROR(IF(VLOOKUP(L$2,MODULY_CBA!$B$3:$L$23,8,0)=$D64,SUMIF('Rozpocet - Vyvoj aplikacii'!$B$3:$B$179,'TCO TO BE- SW'!L$2,'Rozpocet - Vyvoj aplikacii'!$I$3:$I$179),0),0)</f>
        <v>0</v>
      </c>
      <c r="M64" s="574">
        <f>IFERROR(IF(VLOOKUP(M$2,MODULY_CBA!$B$3:$L$23,8,0)=$D64,SUMIF('Rozpocet - Vyvoj aplikacii'!$B$3:$B$179,'TCO TO BE- SW'!M$2,'Rozpocet - Vyvoj aplikacii'!$I$3:$I$179),0),0)</f>
        <v>0</v>
      </c>
      <c r="N64" s="574">
        <f>IFERROR(IF(VLOOKUP(N$2,MODULY_CBA!$B$3:$L$23,8,0)=$D64,SUMIF('Rozpocet - Vyvoj aplikacii'!$B$3:$B$179,'TCO TO BE- SW'!N$2,'Rozpocet - Vyvoj aplikacii'!$I$3:$I$179),0),0)</f>
        <v>0</v>
      </c>
      <c r="O64" s="574">
        <f>IFERROR(IF(VLOOKUP(O$2,MODULY_CBA!$B$3:$L$23,8,0)=$D64,SUMIF('Rozpocet - Vyvoj aplikacii'!$B$3:$B$179,'TCO TO BE- SW'!O$2,'Rozpocet - Vyvoj aplikacii'!$I$3:$I$179),0),0)</f>
        <v>0</v>
      </c>
      <c r="P64" s="574">
        <f>IFERROR(IF(VLOOKUP(P$2,MODULY_CBA!$B$3:$L$23,8,0)=$D64,SUMIF('Rozpocet - Vyvoj aplikacii'!$B$3:$B$179,'TCO TO BE- SW'!P$2,'Rozpocet - Vyvoj aplikacii'!$I$3:$I$179),0),0)</f>
        <v>0</v>
      </c>
      <c r="Q64" s="574">
        <f>IFERROR(IF(VLOOKUP(Q$2,MODULY_CBA!$B$3:$L$23,8,0)=$D64,SUMIF('Rozpocet - Vyvoj aplikacii'!$B$3:$B$179,'TCO TO BE- SW'!Q$2,'Rozpocet - Vyvoj aplikacii'!$I$3:$I$179),0),0)</f>
        <v>0</v>
      </c>
      <c r="R64" s="574">
        <f>IFERROR(IF(VLOOKUP(R$2,MODULY_CBA!$B$3:$L$23,8,0)=$D64,SUMIF('Rozpocet - Vyvoj aplikacii'!$B$3:$B$179,'TCO TO BE- SW'!R$2,'Rozpocet - Vyvoj aplikacii'!$I$3:$I$179),0),0)</f>
        <v>0</v>
      </c>
      <c r="S64" s="574">
        <f>IFERROR(IF(VLOOKUP(S$2,MODULY_CBA!$B$3:$L$23,8,0)=$D64,SUMIF('Rozpocet - Vyvoj aplikacii'!$B$3:$B$179,'TCO TO BE- SW'!S$2,'Rozpocet - Vyvoj aplikacii'!$I$3:$I$179),0),0)</f>
        <v>0</v>
      </c>
      <c r="T64" s="574">
        <f>IFERROR(IF(VLOOKUP(T$2,MODULY_CBA!$B$3:$L$23,8,0)=$D64,SUMIF('Rozpocet - Vyvoj aplikacii'!$B$3:$B$179,'TCO TO BE- SW'!T$2,'Rozpocet - Vyvoj aplikacii'!$I$3:$I$179),0),0)</f>
        <v>0</v>
      </c>
      <c r="U64" s="574">
        <f>IFERROR(IF(VLOOKUP(U$2,MODULY_CBA!$B$3:$L$23,8,0)=$D64,SUMIF('Rozpocet - Vyvoj aplikacii'!$B$3:$B$179,'TCO TO BE- SW'!U$2,'Rozpocet - Vyvoj aplikacii'!$I$3:$I$179),0),0)</f>
        <v>0</v>
      </c>
      <c r="V64" s="574">
        <f>IFERROR(IF(VLOOKUP(V$2,MODULY_CBA!$B$3:$L$23,8,0)=$D64,SUMIF('Rozpocet - Vyvoj aplikacii'!$B$3:$B$179,'TCO TO BE- SW'!V$2,'Rozpocet - Vyvoj aplikacii'!$I$3:$I$179),0),0)</f>
        <v>0</v>
      </c>
      <c r="W64" s="574">
        <f>IFERROR(IF(VLOOKUP(W$2,MODULY_CBA!$B$3:$L$23,8,0)=$D64,SUMIF('Rozpocet - Vyvoj aplikacii'!$B$3:$B$179,'TCO TO BE- SW'!W$2,'Rozpocet - Vyvoj aplikacii'!$I$3:$I$179),0),0)</f>
        <v>0</v>
      </c>
      <c r="X64" s="574">
        <f>IFERROR(IF(VLOOKUP(X$2,MODULY_CBA!$B$3:$L$23,8,0)=$D64,SUMIF('Rozpocet - Vyvoj aplikacii'!$B$3:$B$179,'TCO TO BE- SW'!X$2,'Rozpocet - Vyvoj aplikacii'!$I$3:$I$179),0),0)</f>
        <v>0</v>
      </c>
      <c r="Y64" s="574">
        <f>IFERROR(IF(VLOOKUP(Y$2,MODULY_CBA!$B$3:$L$23,8,0)=$D64,SUMIF('Rozpocet - Vyvoj aplikacii'!$B$3:$B$179,'TCO TO BE- SW'!Y$2,'Rozpocet - Vyvoj aplikacii'!$I$3:$I$179),0),0)</f>
        <v>0</v>
      </c>
      <c r="Z64" s="574">
        <f>IFERROR(IF(VLOOKUP(Z$2,MODULY_CBA!$B$3:$L$23,8,0)=$D64,SUMIF('Rozpocet - Vyvoj aplikacii'!$B$3:$B$179,'TCO TO BE- SW'!Z$2,'Rozpocet - Vyvoj aplikacii'!$I$3:$I$179),0),0)</f>
        <v>0</v>
      </c>
    </row>
    <row r="65" spans="1:26" outlineLevel="2">
      <c r="A65" s="817"/>
      <c r="B65" s="818"/>
      <c r="C65" s="818"/>
      <c r="D65" s="64">
        <v>9</v>
      </c>
      <c r="E65" s="68">
        <f t="shared" si="7"/>
        <v>0</v>
      </c>
      <c r="F65" s="574">
        <f>IFERROR(IF(VLOOKUP(F$2,MODULY_CBA!$B$3:$L$23,8,0)=$D65,SUMIF('Rozpocet - Vyvoj aplikacii'!$B$3:$B$179,'TCO TO BE- SW'!F$2,'Rozpocet - Vyvoj aplikacii'!$I$3:$I$179),0),0)</f>
        <v>0</v>
      </c>
      <c r="G65" s="574">
        <f>IFERROR(IF(VLOOKUP(G$2,MODULY_CBA!$B$3:$L$23,8,0)=$D65,SUMIF('Rozpocet - Vyvoj aplikacii'!$B$3:$B$179,'TCO TO BE- SW'!G$2,'Rozpocet - Vyvoj aplikacii'!$I$3:$I$179),0),0)</f>
        <v>0</v>
      </c>
      <c r="H65" s="574">
        <f>IFERROR(IF(VLOOKUP(H$2,MODULY_CBA!$B$3:$L$23,8,0)=$D65,SUMIF('Rozpocet - Vyvoj aplikacii'!$B$3:$B$179,'TCO TO BE- SW'!H$2,'Rozpocet - Vyvoj aplikacii'!$I$3:$I$179),0),0)</f>
        <v>0</v>
      </c>
      <c r="I65" s="574">
        <f>IFERROR(IF(VLOOKUP(I$2,MODULY_CBA!$B$3:$L$23,8,0)=$D65,SUMIF('Rozpocet - Vyvoj aplikacii'!$B$3:$B$179,'TCO TO BE- SW'!I$2,'Rozpocet - Vyvoj aplikacii'!$I$3:$I$179),0),0)</f>
        <v>0</v>
      </c>
      <c r="J65" s="574">
        <f>IFERROR(IF(VLOOKUP(J$2,MODULY_CBA!$B$3:$L$23,8,0)=$D65,SUMIF('Rozpocet - Vyvoj aplikacii'!$B$3:$B$179,'TCO TO BE- SW'!J$2,'Rozpocet - Vyvoj aplikacii'!$I$3:$I$179),0),0)</f>
        <v>0</v>
      </c>
      <c r="K65" s="574">
        <f>IFERROR(IF(VLOOKUP(K$2,MODULY_CBA!$B$3:$L$23,8,0)=$D65,SUMIF('Rozpocet - Vyvoj aplikacii'!$B$3:$B$179,'TCO TO BE- SW'!K$2,'Rozpocet - Vyvoj aplikacii'!$I$3:$I$179),0),0)</f>
        <v>0</v>
      </c>
      <c r="L65" s="574">
        <f>IFERROR(IF(VLOOKUP(L$2,MODULY_CBA!$B$3:$L$23,8,0)=$D65,SUMIF('Rozpocet - Vyvoj aplikacii'!$B$3:$B$179,'TCO TO BE- SW'!L$2,'Rozpocet - Vyvoj aplikacii'!$I$3:$I$179),0),0)</f>
        <v>0</v>
      </c>
      <c r="M65" s="574">
        <f>IFERROR(IF(VLOOKUP(M$2,MODULY_CBA!$B$3:$L$23,8,0)=$D65,SUMIF('Rozpocet - Vyvoj aplikacii'!$B$3:$B$179,'TCO TO BE- SW'!M$2,'Rozpocet - Vyvoj aplikacii'!$I$3:$I$179),0),0)</f>
        <v>0</v>
      </c>
      <c r="N65" s="574">
        <f>IFERROR(IF(VLOOKUP(N$2,MODULY_CBA!$B$3:$L$23,8,0)=$D65,SUMIF('Rozpocet - Vyvoj aplikacii'!$B$3:$B$179,'TCO TO BE- SW'!N$2,'Rozpocet - Vyvoj aplikacii'!$I$3:$I$179),0),0)</f>
        <v>0</v>
      </c>
      <c r="O65" s="574">
        <f>IFERROR(IF(VLOOKUP(O$2,MODULY_CBA!$B$3:$L$23,8,0)=$D65,SUMIF('Rozpocet - Vyvoj aplikacii'!$B$3:$B$179,'TCO TO BE- SW'!O$2,'Rozpocet - Vyvoj aplikacii'!$I$3:$I$179),0),0)</f>
        <v>0</v>
      </c>
      <c r="P65" s="574">
        <f>IFERROR(IF(VLOOKUP(P$2,MODULY_CBA!$B$3:$L$23,8,0)=$D65,SUMIF('Rozpocet - Vyvoj aplikacii'!$B$3:$B$179,'TCO TO BE- SW'!P$2,'Rozpocet - Vyvoj aplikacii'!$I$3:$I$179),0),0)</f>
        <v>0</v>
      </c>
      <c r="Q65" s="574">
        <f>IFERROR(IF(VLOOKUP(Q$2,MODULY_CBA!$B$3:$L$23,8,0)=$D65,SUMIF('Rozpocet - Vyvoj aplikacii'!$B$3:$B$179,'TCO TO BE- SW'!Q$2,'Rozpocet - Vyvoj aplikacii'!$I$3:$I$179),0),0)</f>
        <v>0</v>
      </c>
      <c r="R65" s="574">
        <f>IFERROR(IF(VLOOKUP(R$2,MODULY_CBA!$B$3:$L$23,8,0)=$D65,SUMIF('Rozpocet - Vyvoj aplikacii'!$B$3:$B$179,'TCO TO BE- SW'!R$2,'Rozpocet - Vyvoj aplikacii'!$I$3:$I$179),0),0)</f>
        <v>0</v>
      </c>
      <c r="S65" s="574">
        <f>IFERROR(IF(VLOOKUP(S$2,MODULY_CBA!$B$3:$L$23,8,0)=$D65,SUMIF('Rozpocet - Vyvoj aplikacii'!$B$3:$B$179,'TCO TO BE- SW'!S$2,'Rozpocet - Vyvoj aplikacii'!$I$3:$I$179),0),0)</f>
        <v>0</v>
      </c>
      <c r="T65" s="574">
        <f>IFERROR(IF(VLOOKUP(T$2,MODULY_CBA!$B$3:$L$23,8,0)=$D65,SUMIF('Rozpocet - Vyvoj aplikacii'!$B$3:$B$179,'TCO TO BE- SW'!T$2,'Rozpocet - Vyvoj aplikacii'!$I$3:$I$179),0),0)</f>
        <v>0</v>
      </c>
      <c r="U65" s="574">
        <f>IFERROR(IF(VLOOKUP(U$2,MODULY_CBA!$B$3:$L$23,8,0)=$D65,SUMIF('Rozpocet - Vyvoj aplikacii'!$B$3:$B$179,'TCO TO BE- SW'!U$2,'Rozpocet - Vyvoj aplikacii'!$I$3:$I$179),0),0)</f>
        <v>0</v>
      </c>
      <c r="V65" s="574">
        <f>IFERROR(IF(VLOOKUP(V$2,MODULY_CBA!$B$3:$L$23,8,0)=$D65,SUMIF('Rozpocet - Vyvoj aplikacii'!$B$3:$B$179,'TCO TO BE- SW'!V$2,'Rozpocet - Vyvoj aplikacii'!$I$3:$I$179),0),0)</f>
        <v>0</v>
      </c>
      <c r="W65" s="574">
        <f>IFERROR(IF(VLOOKUP(W$2,MODULY_CBA!$B$3:$L$23,8,0)=$D65,SUMIF('Rozpocet - Vyvoj aplikacii'!$B$3:$B$179,'TCO TO BE- SW'!W$2,'Rozpocet - Vyvoj aplikacii'!$I$3:$I$179),0),0)</f>
        <v>0</v>
      </c>
      <c r="X65" s="574">
        <f>IFERROR(IF(VLOOKUP(X$2,MODULY_CBA!$B$3:$L$23,8,0)=$D65,SUMIF('Rozpocet - Vyvoj aplikacii'!$B$3:$B$179,'TCO TO BE- SW'!X$2,'Rozpocet - Vyvoj aplikacii'!$I$3:$I$179),0),0)</f>
        <v>0</v>
      </c>
      <c r="Y65" s="574">
        <f>IFERROR(IF(VLOOKUP(Y$2,MODULY_CBA!$B$3:$L$23,8,0)=$D65,SUMIF('Rozpocet - Vyvoj aplikacii'!$B$3:$B$179,'TCO TO BE- SW'!Y$2,'Rozpocet - Vyvoj aplikacii'!$I$3:$I$179),0),0)</f>
        <v>0</v>
      </c>
      <c r="Z65" s="574">
        <f>IFERROR(IF(VLOOKUP(Z$2,MODULY_CBA!$B$3:$L$23,8,0)=$D65,SUMIF('Rozpocet - Vyvoj aplikacii'!$B$3:$B$179,'TCO TO BE- SW'!Z$2,'Rozpocet - Vyvoj aplikacii'!$I$3:$I$179),0),0)</f>
        <v>0</v>
      </c>
    </row>
    <row r="66" spans="1:26" ht="15.75" outlineLevel="2" thickBot="1">
      <c r="A66" s="817"/>
      <c r="B66" s="818"/>
      <c r="C66" s="818"/>
      <c r="D66" s="65">
        <v>10</v>
      </c>
      <c r="E66" s="69">
        <f t="shared" si="7"/>
        <v>0</v>
      </c>
      <c r="F66" s="575">
        <f>IFERROR(IF(VLOOKUP(F$2,MODULY_CBA!$B$3:$L$23,8,0)=$D66,SUMIF('Rozpocet - Vyvoj aplikacii'!$B$3:$B$179,'TCO TO BE- SW'!F$2,'Rozpocet - Vyvoj aplikacii'!$I$3:$I$179),0),0)</f>
        <v>0</v>
      </c>
      <c r="G66" s="575">
        <f>IFERROR(IF(VLOOKUP(G$2,MODULY_CBA!$B$3:$L$23,8,0)=$D66,SUMIF('Rozpocet - Vyvoj aplikacii'!$B$3:$B$179,'TCO TO BE- SW'!G$2,'Rozpocet - Vyvoj aplikacii'!$I$3:$I$179),0),0)</f>
        <v>0</v>
      </c>
      <c r="H66" s="575">
        <f>IFERROR(IF(VLOOKUP(H$2,MODULY_CBA!$B$3:$L$23,8,0)=$D66,SUMIF('Rozpocet - Vyvoj aplikacii'!$B$3:$B$179,'TCO TO BE- SW'!H$2,'Rozpocet - Vyvoj aplikacii'!$I$3:$I$179),0),0)</f>
        <v>0</v>
      </c>
      <c r="I66" s="575">
        <f>IFERROR(IF(VLOOKUP(I$2,MODULY_CBA!$B$3:$L$23,8,0)=$D66,SUMIF('Rozpocet - Vyvoj aplikacii'!$B$3:$B$179,'TCO TO BE- SW'!I$2,'Rozpocet - Vyvoj aplikacii'!$I$3:$I$179),0),0)</f>
        <v>0</v>
      </c>
      <c r="J66" s="575">
        <f>IFERROR(IF(VLOOKUP(J$2,MODULY_CBA!$B$3:$L$23,8,0)=$D66,SUMIF('Rozpocet - Vyvoj aplikacii'!$B$3:$B$179,'TCO TO BE- SW'!J$2,'Rozpocet - Vyvoj aplikacii'!$I$3:$I$179),0),0)</f>
        <v>0</v>
      </c>
      <c r="K66" s="575">
        <f>IFERROR(IF(VLOOKUP(K$2,MODULY_CBA!$B$3:$L$23,8,0)=$D66,SUMIF('Rozpocet - Vyvoj aplikacii'!$B$3:$B$179,'TCO TO BE- SW'!K$2,'Rozpocet - Vyvoj aplikacii'!$I$3:$I$179),0),0)</f>
        <v>0</v>
      </c>
      <c r="L66" s="575">
        <f>IFERROR(IF(VLOOKUP(L$2,MODULY_CBA!$B$3:$L$23,8,0)=$D66,SUMIF('Rozpocet - Vyvoj aplikacii'!$B$3:$B$179,'TCO TO BE- SW'!L$2,'Rozpocet - Vyvoj aplikacii'!$I$3:$I$179),0),0)</f>
        <v>0</v>
      </c>
      <c r="M66" s="575">
        <f>IFERROR(IF(VLOOKUP(M$2,MODULY_CBA!$B$3:$L$23,8,0)=$D66,SUMIF('Rozpocet - Vyvoj aplikacii'!$B$3:$B$179,'TCO TO BE- SW'!M$2,'Rozpocet - Vyvoj aplikacii'!$I$3:$I$179),0),0)</f>
        <v>0</v>
      </c>
      <c r="N66" s="575">
        <f>IFERROR(IF(VLOOKUP(N$2,MODULY_CBA!$B$3:$L$23,8,0)=$D66,SUMIF('Rozpocet - Vyvoj aplikacii'!$B$3:$B$179,'TCO TO BE- SW'!N$2,'Rozpocet - Vyvoj aplikacii'!$I$3:$I$179),0),0)</f>
        <v>0</v>
      </c>
      <c r="O66" s="575">
        <f>IFERROR(IF(VLOOKUP(O$2,MODULY_CBA!$B$3:$L$23,8,0)=$D66,SUMIF('Rozpocet - Vyvoj aplikacii'!$B$3:$B$179,'TCO TO BE- SW'!O$2,'Rozpocet - Vyvoj aplikacii'!$I$3:$I$179),0),0)</f>
        <v>0</v>
      </c>
      <c r="P66" s="575">
        <f>IFERROR(IF(VLOOKUP(P$2,MODULY_CBA!$B$3:$L$23,8,0)=$D66,SUMIF('Rozpocet - Vyvoj aplikacii'!$B$3:$B$179,'TCO TO BE- SW'!P$2,'Rozpocet - Vyvoj aplikacii'!$I$3:$I$179),0),0)</f>
        <v>0</v>
      </c>
      <c r="Q66" s="575">
        <f>IFERROR(IF(VLOOKUP(Q$2,MODULY_CBA!$B$3:$L$23,8,0)=$D66,SUMIF('Rozpocet - Vyvoj aplikacii'!$B$3:$B$179,'TCO TO BE- SW'!Q$2,'Rozpocet - Vyvoj aplikacii'!$I$3:$I$179),0),0)</f>
        <v>0</v>
      </c>
      <c r="R66" s="575">
        <f>IFERROR(IF(VLOOKUP(R$2,MODULY_CBA!$B$3:$L$23,8,0)=$D66,SUMIF('Rozpocet - Vyvoj aplikacii'!$B$3:$B$179,'TCO TO BE- SW'!R$2,'Rozpocet - Vyvoj aplikacii'!$I$3:$I$179),0),0)</f>
        <v>0</v>
      </c>
      <c r="S66" s="575">
        <f>IFERROR(IF(VLOOKUP(S$2,MODULY_CBA!$B$3:$L$23,8,0)=$D66,SUMIF('Rozpocet - Vyvoj aplikacii'!$B$3:$B$179,'TCO TO BE- SW'!S$2,'Rozpocet - Vyvoj aplikacii'!$I$3:$I$179),0),0)</f>
        <v>0</v>
      </c>
      <c r="T66" s="575">
        <f>IFERROR(IF(VLOOKUP(T$2,MODULY_CBA!$B$3:$L$23,8,0)=$D66,SUMIF('Rozpocet - Vyvoj aplikacii'!$B$3:$B$179,'TCO TO BE- SW'!T$2,'Rozpocet - Vyvoj aplikacii'!$I$3:$I$179),0),0)</f>
        <v>0</v>
      </c>
      <c r="U66" s="575">
        <f>IFERROR(IF(VLOOKUP(U$2,MODULY_CBA!$B$3:$L$23,8,0)=$D66,SUMIF('Rozpocet - Vyvoj aplikacii'!$B$3:$B$179,'TCO TO BE- SW'!U$2,'Rozpocet - Vyvoj aplikacii'!$I$3:$I$179),0),0)</f>
        <v>0</v>
      </c>
      <c r="V66" s="575">
        <f>IFERROR(IF(VLOOKUP(V$2,MODULY_CBA!$B$3:$L$23,8,0)=$D66,SUMIF('Rozpocet - Vyvoj aplikacii'!$B$3:$B$179,'TCO TO BE- SW'!V$2,'Rozpocet - Vyvoj aplikacii'!$I$3:$I$179),0),0)</f>
        <v>0</v>
      </c>
      <c r="W66" s="575">
        <f>IFERROR(IF(VLOOKUP(W$2,MODULY_CBA!$B$3:$L$23,8,0)=$D66,SUMIF('Rozpocet - Vyvoj aplikacii'!$B$3:$B$179,'TCO TO BE- SW'!W$2,'Rozpocet - Vyvoj aplikacii'!$I$3:$I$179),0),0)</f>
        <v>0</v>
      </c>
      <c r="X66" s="575">
        <f>IFERROR(IF(VLOOKUP(X$2,MODULY_CBA!$B$3:$L$23,8,0)=$D66,SUMIF('Rozpocet - Vyvoj aplikacii'!$B$3:$B$179,'TCO TO BE- SW'!X$2,'Rozpocet - Vyvoj aplikacii'!$I$3:$I$179),0),0)</f>
        <v>0</v>
      </c>
      <c r="Y66" s="575">
        <f>IFERROR(IF(VLOOKUP(Y$2,MODULY_CBA!$B$3:$L$23,8,0)=$D66,SUMIF('Rozpocet - Vyvoj aplikacii'!$B$3:$B$179,'TCO TO BE- SW'!Y$2,'Rozpocet - Vyvoj aplikacii'!$I$3:$I$179),0),0)</f>
        <v>0</v>
      </c>
      <c r="Z66" s="575">
        <f>IFERROR(IF(VLOOKUP(Z$2,MODULY_CBA!$B$3:$L$23,8,0)=$D66,SUMIF('Rozpocet - Vyvoj aplikacii'!$B$3:$B$179,'TCO TO BE- SW'!Z$2,'Rozpocet - Vyvoj aplikacii'!$I$3:$I$179),0),0)</f>
        <v>0</v>
      </c>
    </row>
    <row r="67" spans="1:26" outlineLevel="2">
      <c r="A67" s="817" t="s">
        <v>1505</v>
      </c>
      <c r="B67" s="818" t="s">
        <v>1506</v>
      </c>
      <c r="C67" s="818">
        <v>637040</v>
      </c>
      <c r="D67" s="63">
        <v>1</v>
      </c>
      <c r="E67" s="68">
        <f t="shared" si="6"/>
        <v>0</v>
      </c>
      <c r="F67" s="576">
        <v>0</v>
      </c>
      <c r="G67" s="576">
        <v>0</v>
      </c>
      <c r="H67" s="576">
        <v>0</v>
      </c>
      <c r="I67" s="576">
        <v>0</v>
      </c>
      <c r="J67" s="576">
        <v>0</v>
      </c>
      <c r="K67" s="576">
        <v>0</v>
      </c>
      <c r="L67" s="576">
        <v>0</v>
      </c>
      <c r="M67" s="576">
        <v>0</v>
      </c>
      <c r="N67" s="576">
        <v>0</v>
      </c>
      <c r="O67" s="576">
        <v>0</v>
      </c>
      <c r="P67" s="576">
        <v>0</v>
      </c>
      <c r="Q67" s="576">
        <v>0</v>
      </c>
      <c r="R67" s="576">
        <v>0</v>
      </c>
      <c r="S67" s="576">
        <v>0</v>
      </c>
      <c r="T67" s="576">
        <v>0</v>
      </c>
      <c r="U67" s="576">
        <v>0</v>
      </c>
      <c r="V67" s="576">
        <v>0</v>
      </c>
      <c r="W67" s="576">
        <v>0</v>
      </c>
      <c r="X67" s="576">
        <v>0</v>
      </c>
      <c r="Y67" s="576">
        <v>0</v>
      </c>
      <c r="Z67" s="576">
        <v>0</v>
      </c>
    </row>
    <row r="68" spans="1:26" outlineLevel="2">
      <c r="A68" s="817"/>
      <c r="B68" s="818"/>
      <c r="C68" s="818"/>
      <c r="D68" s="64">
        <v>2</v>
      </c>
      <c r="E68" s="68">
        <f t="shared" si="6"/>
        <v>0</v>
      </c>
      <c r="F68" s="577">
        <v>0</v>
      </c>
      <c r="G68" s="577">
        <v>0</v>
      </c>
      <c r="H68" s="577">
        <v>0</v>
      </c>
      <c r="I68" s="577">
        <v>0</v>
      </c>
      <c r="J68" s="577">
        <v>0</v>
      </c>
      <c r="K68" s="577">
        <v>0</v>
      </c>
      <c r="L68" s="577">
        <v>0</v>
      </c>
      <c r="M68" s="577">
        <v>0</v>
      </c>
      <c r="N68" s="577">
        <v>0</v>
      </c>
      <c r="O68" s="577">
        <v>0</v>
      </c>
      <c r="P68" s="577">
        <v>0</v>
      </c>
      <c r="Q68" s="577">
        <v>0</v>
      </c>
      <c r="R68" s="577">
        <v>0</v>
      </c>
      <c r="S68" s="577">
        <v>0</v>
      </c>
      <c r="T68" s="577">
        <v>0</v>
      </c>
      <c r="U68" s="577">
        <v>0</v>
      </c>
      <c r="V68" s="577">
        <v>0</v>
      </c>
      <c r="W68" s="577">
        <v>0</v>
      </c>
      <c r="X68" s="577">
        <v>0</v>
      </c>
      <c r="Y68" s="577">
        <v>0</v>
      </c>
      <c r="Z68" s="577">
        <v>0</v>
      </c>
    </row>
    <row r="69" spans="1:26" outlineLevel="2">
      <c r="A69" s="817"/>
      <c r="B69" s="818"/>
      <c r="C69" s="818"/>
      <c r="D69" s="64">
        <v>3</v>
      </c>
      <c r="E69" s="68">
        <f t="shared" si="6"/>
        <v>0</v>
      </c>
      <c r="F69" s="577">
        <v>0</v>
      </c>
      <c r="G69" s="577">
        <v>0</v>
      </c>
      <c r="H69" s="577">
        <v>0</v>
      </c>
      <c r="I69" s="577">
        <v>0</v>
      </c>
      <c r="J69" s="577">
        <v>0</v>
      </c>
      <c r="K69" s="577">
        <v>0</v>
      </c>
      <c r="L69" s="577">
        <v>0</v>
      </c>
      <c r="M69" s="577">
        <v>0</v>
      </c>
      <c r="N69" s="577">
        <v>0</v>
      </c>
      <c r="O69" s="577">
        <v>0</v>
      </c>
      <c r="P69" s="577">
        <v>0</v>
      </c>
      <c r="Q69" s="577">
        <v>0</v>
      </c>
      <c r="R69" s="577">
        <v>0</v>
      </c>
      <c r="S69" s="577">
        <v>0</v>
      </c>
      <c r="T69" s="577">
        <v>0</v>
      </c>
      <c r="U69" s="577">
        <v>0</v>
      </c>
      <c r="V69" s="577">
        <v>0</v>
      </c>
      <c r="W69" s="577">
        <v>0</v>
      </c>
      <c r="X69" s="577">
        <v>0</v>
      </c>
      <c r="Y69" s="577">
        <v>0</v>
      </c>
      <c r="Z69" s="577">
        <v>0</v>
      </c>
    </row>
    <row r="70" spans="1:26" outlineLevel="2">
      <c r="A70" s="817"/>
      <c r="B70" s="818"/>
      <c r="C70" s="818"/>
      <c r="D70" s="64">
        <v>4</v>
      </c>
      <c r="E70" s="68">
        <f t="shared" si="6"/>
        <v>0</v>
      </c>
      <c r="F70" s="577">
        <v>0</v>
      </c>
      <c r="G70" s="577">
        <v>0</v>
      </c>
      <c r="H70" s="577">
        <v>0</v>
      </c>
      <c r="I70" s="577">
        <v>0</v>
      </c>
      <c r="J70" s="577">
        <v>0</v>
      </c>
      <c r="K70" s="577">
        <v>0</v>
      </c>
      <c r="L70" s="577">
        <v>0</v>
      </c>
      <c r="M70" s="577">
        <v>0</v>
      </c>
      <c r="N70" s="577">
        <v>0</v>
      </c>
      <c r="O70" s="577">
        <v>0</v>
      </c>
      <c r="P70" s="577">
        <v>0</v>
      </c>
      <c r="Q70" s="577">
        <v>0</v>
      </c>
      <c r="R70" s="577">
        <v>0</v>
      </c>
      <c r="S70" s="577">
        <v>0</v>
      </c>
      <c r="T70" s="577">
        <v>0</v>
      </c>
      <c r="U70" s="577">
        <v>0</v>
      </c>
      <c r="V70" s="577">
        <v>0</v>
      </c>
      <c r="W70" s="577">
        <v>0</v>
      </c>
      <c r="X70" s="577">
        <v>0</v>
      </c>
      <c r="Y70" s="577">
        <v>0</v>
      </c>
      <c r="Z70" s="577">
        <v>0</v>
      </c>
    </row>
    <row r="71" spans="1:26" outlineLevel="2">
      <c r="A71" s="817"/>
      <c r="B71" s="818"/>
      <c r="C71" s="818"/>
      <c r="D71" s="64">
        <v>5</v>
      </c>
      <c r="E71" s="68">
        <f t="shared" si="6"/>
        <v>0</v>
      </c>
      <c r="F71" s="577">
        <v>0</v>
      </c>
      <c r="G71" s="577">
        <v>0</v>
      </c>
      <c r="H71" s="577">
        <v>0</v>
      </c>
      <c r="I71" s="577">
        <v>0</v>
      </c>
      <c r="J71" s="577">
        <v>0</v>
      </c>
      <c r="K71" s="577">
        <v>0</v>
      </c>
      <c r="L71" s="577">
        <v>0</v>
      </c>
      <c r="M71" s="577">
        <v>0</v>
      </c>
      <c r="N71" s="577">
        <v>0</v>
      </c>
      <c r="O71" s="577">
        <v>0</v>
      </c>
      <c r="P71" s="577">
        <v>0</v>
      </c>
      <c r="Q71" s="577">
        <v>0</v>
      </c>
      <c r="R71" s="577">
        <v>0</v>
      </c>
      <c r="S71" s="577">
        <v>0</v>
      </c>
      <c r="T71" s="577">
        <v>0</v>
      </c>
      <c r="U71" s="577">
        <v>0</v>
      </c>
      <c r="V71" s="577">
        <v>0</v>
      </c>
      <c r="W71" s="577">
        <v>0</v>
      </c>
      <c r="X71" s="577">
        <v>0</v>
      </c>
      <c r="Y71" s="577">
        <v>0</v>
      </c>
      <c r="Z71" s="577">
        <v>0</v>
      </c>
    </row>
    <row r="72" spans="1:26" outlineLevel="2">
      <c r="A72" s="817"/>
      <c r="B72" s="818"/>
      <c r="C72" s="818"/>
      <c r="D72" s="64">
        <v>6</v>
      </c>
      <c r="E72" s="68">
        <f t="shared" si="6"/>
        <v>0</v>
      </c>
      <c r="F72" s="577">
        <v>0</v>
      </c>
      <c r="G72" s="577">
        <v>0</v>
      </c>
      <c r="H72" s="577">
        <v>0</v>
      </c>
      <c r="I72" s="577">
        <v>0</v>
      </c>
      <c r="J72" s="577">
        <v>0</v>
      </c>
      <c r="K72" s="577">
        <v>0</v>
      </c>
      <c r="L72" s="577">
        <v>0</v>
      </c>
      <c r="M72" s="577">
        <v>0</v>
      </c>
      <c r="N72" s="577">
        <v>0</v>
      </c>
      <c r="O72" s="577">
        <v>0</v>
      </c>
      <c r="P72" s="577">
        <v>0</v>
      </c>
      <c r="Q72" s="577">
        <v>0</v>
      </c>
      <c r="R72" s="577">
        <v>0</v>
      </c>
      <c r="S72" s="577">
        <v>0</v>
      </c>
      <c r="T72" s="577">
        <v>0</v>
      </c>
      <c r="U72" s="577">
        <v>0</v>
      </c>
      <c r="V72" s="577">
        <v>0</v>
      </c>
      <c r="W72" s="577">
        <v>0</v>
      </c>
      <c r="X72" s="577">
        <v>0</v>
      </c>
      <c r="Y72" s="577">
        <v>0</v>
      </c>
      <c r="Z72" s="577">
        <v>0</v>
      </c>
    </row>
    <row r="73" spans="1:26" outlineLevel="2">
      <c r="A73" s="817"/>
      <c r="B73" s="818"/>
      <c r="C73" s="818"/>
      <c r="D73" s="64">
        <v>7</v>
      </c>
      <c r="E73" s="68">
        <f t="shared" si="6"/>
        <v>0</v>
      </c>
      <c r="F73" s="577">
        <v>0</v>
      </c>
      <c r="G73" s="577">
        <v>0</v>
      </c>
      <c r="H73" s="577">
        <v>0</v>
      </c>
      <c r="I73" s="577">
        <v>0</v>
      </c>
      <c r="J73" s="577">
        <v>0</v>
      </c>
      <c r="K73" s="577">
        <v>0</v>
      </c>
      <c r="L73" s="577">
        <v>0</v>
      </c>
      <c r="M73" s="577">
        <v>0</v>
      </c>
      <c r="N73" s="577">
        <v>0</v>
      </c>
      <c r="O73" s="577">
        <v>0</v>
      </c>
      <c r="P73" s="577">
        <v>0</v>
      </c>
      <c r="Q73" s="577">
        <v>0</v>
      </c>
      <c r="R73" s="577">
        <v>0</v>
      </c>
      <c r="S73" s="577">
        <v>0</v>
      </c>
      <c r="T73" s="577">
        <v>0</v>
      </c>
      <c r="U73" s="577">
        <v>0</v>
      </c>
      <c r="V73" s="577">
        <v>0</v>
      </c>
      <c r="W73" s="577">
        <v>0</v>
      </c>
      <c r="X73" s="577">
        <v>0</v>
      </c>
      <c r="Y73" s="577">
        <v>0</v>
      </c>
      <c r="Z73" s="577">
        <v>0</v>
      </c>
    </row>
    <row r="74" spans="1:26" outlineLevel="2">
      <c r="A74" s="817"/>
      <c r="B74" s="818"/>
      <c r="C74" s="818"/>
      <c r="D74" s="64">
        <v>8</v>
      </c>
      <c r="E74" s="68">
        <f t="shared" si="6"/>
        <v>0</v>
      </c>
      <c r="F74" s="577">
        <v>0</v>
      </c>
      <c r="G74" s="577">
        <v>0</v>
      </c>
      <c r="H74" s="577">
        <v>0</v>
      </c>
      <c r="I74" s="577">
        <v>0</v>
      </c>
      <c r="J74" s="577">
        <v>0</v>
      </c>
      <c r="K74" s="577">
        <v>0</v>
      </c>
      <c r="L74" s="577">
        <v>0</v>
      </c>
      <c r="M74" s="577">
        <v>0</v>
      </c>
      <c r="N74" s="577">
        <v>0</v>
      </c>
      <c r="O74" s="577">
        <v>0</v>
      </c>
      <c r="P74" s="577">
        <v>0</v>
      </c>
      <c r="Q74" s="577">
        <v>0</v>
      </c>
      <c r="R74" s="577">
        <v>0</v>
      </c>
      <c r="S74" s="577">
        <v>0</v>
      </c>
      <c r="T74" s="577">
        <v>0</v>
      </c>
      <c r="U74" s="577">
        <v>0</v>
      </c>
      <c r="V74" s="577">
        <v>0</v>
      </c>
      <c r="W74" s="577">
        <v>0</v>
      </c>
      <c r="X74" s="577">
        <v>0</v>
      </c>
      <c r="Y74" s="577">
        <v>0</v>
      </c>
      <c r="Z74" s="577">
        <v>0</v>
      </c>
    </row>
    <row r="75" spans="1:26" outlineLevel="2">
      <c r="A75" s="817"/>
      <c r="B75" s="818"/>
      <c r="C75" s="818"/>
      <c r="D75" s="64">
        <v>9</v>
      </c>
      <c r="E75" s="68">
        <f t="shared" si="6"/>
        <v>0</v>
      </c>
      <c r="F75" s="577">
        <v>0</v>
      </c>
      <c r="G75" s="577">
        <v>0</v>
      </c>
      <c r="H75" s="577">
        <v>0</v>
      </c>
      <c r="I75" s="577">
        <v>0</v>
      </c>
      <c r="J75" s="577">
        <v>0</v>
      </c>
      <c r="K75" s="577">
        <v>0</v>
      </c>
      <c r="L75" s="577">
        <v>0</v>
      </c>
      <c r="M75" s="577">
        <v>0</v>
      </c>
      <c r="N75" s="577">
        <v>0</v>
      </c>
      <c r="O75" s="577">
        <v>0</v>
      </c>
      <c r="P75" s="577">
        <v>0</v>
      </c>
      <c r="Q75" s="577">
        <v>0</v>
      </c>
      <c r="R75" s="577">
        <v>0</v>
      </c>
      <c r="S75" s="577">
        <v>0</v>
      </c>
      <c r="T75" s="577">
        <v>0</v>
      </c>
      <c r="U75" s="577">
        <v>0</v>
      </c>
      <c r="V75" s="577">
        <v>0</v>
      </c>
      <c r="W75" s="577">
        <v>0</v>
      </c>
      <c r="X75" s="577">
        <v>0</v>
      </c>
      <c r="Y75" s="577">
        <v>0</v>
      </c>
      <c r="Z75" s="577">
        <v>0</v>
      </c>
    </row>
    <row r="76" spans="1:26" ht="15.75" outlineLevel="2" thickBot="1">
      <c r="A76" s="817"/>
      <c r="B76" s="818"/>
      <c r="C76" s="818"/>
      <c r="D76" s="65">
        <v>10</v>
      </c>
      <c r="E76" s="69">
        <f t="shared" si="6"/>
        <v>0</v>
      </c>
      <c r="F76" s="581">
        <v>0</v>
      </c>
      <c r="G76" s="581">
        <v>0</v>
      </c>
      <c r="H76" s="581">
        <v>0</v>
      </c>
      <c r="I76" s="581">
        <v>0</v>
      </c>
      <c r="J76" s="581">
        <v>0</v>
      </c>
      <c r="K76" s="581">
        <v>0</v>
      </c>
      <c r="L76" s="581">
        <v>0</v>
      </c>
      <c r="M76" s="581">
        <v>0</v>
      </c>
      <c r="N76" s="581">
        <v>0</v>
      </c>
      <c r="O76" s="581">
        <v>0</v>
      </c>
      <c r="P76" s="581">
        <v>0</v>
      </c>
      <c r="Q76" s="581">
        <v>0</v>
      </c>
      <c r="R76" s="581">
        <v>0</v>
      </c>
      <c r="S76" s="581">
        <v>0</v>
      </c>
      <c r="T76" s="581">
        <v>0</v>
      </c>
      <c r="U76" s="581">
        <v>0</v>
      </c>
      <c r="V76" s="581">
        <v>0</v>
      </c>
      <c r="W76" s="581">
        <v>0</v>
      </c>
      <c r="X76" s="581">
        <v>0</v>
      </c>
      <c r="Y76" s="581">
        <v>0</v>
      </c>
      <c r="Z76" s="581">
        <v>0</v>
      </c>
    </row>
    <row r="77" spans="1:26" ht="15.75" thickBot="1">
      <c r="A77" s="824" t="s">
        <v>1494</v>
      </c>
      <c r="B77" s="825"/>
      <c r="C77" s="825"/>
      <c r="D77" s="75"/>
      <c r="E77" s="72">
        <f t="shared" ref="E77:F77" si="8">E78+E99</f>
        <v>45731743.805664584</v>
      </c>
      <c r="F77" s="73">
        <f t="shared" si="8"/>
        <v>10714079.945722952</v>
      </c>
      <c r="G77" s="73">
        <f t="shared" ref="G77:Z77" si="9">G78+G99</f>
        <v>757254.52525196387</v>
      </c>
      <c r="H77" s="73">
        <f t="shared" si="9"/>
        <v>739394.74871300266</v>
      </c>
      <c r="I77" s="73">
        <f t="shared" si="9"/>
        <v>442922.45816624304</v>
      </c>
      <c r="J77" s="73">
        <f t="shared" si="9"/>
        <v>739394.74871300266</v>
      </c>
      <c r="K77" s="73">
        <f t="shared" si="9"/>
        <v>148236.14527337966</v>
      </c>
      <c r="L77" s="73">
        <f t="shared" si="9"/>
        <v>15224467.289656879</v>
      </c>
      <c r="M77" s="73">
        <f t="shared" si="9"/>
        <v>3054418.6720854896</v>
      </c>
      <c r="N77" s="73">
        <f t="shared" si="9"/>
        <v>1511333.979119224</v>
      </c>
      <c r="O77" s="73">
        <f t="shared" si="9"/>
        <v>12400241.292962449</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75" outlineLevel="1" thickBot="1">
      <c r="A78" s="17" t="s">
        <v>1495</v>
      </c>
      <c r="B78" s="17"/>
      <c r="C78" s="17"/>
      <c r="D78" s="27"/>
      <c r="E78" s="107">
        <f t="shared" ref="E78:F78" si="10">SUM(E79:E98)</f>
        <v>0</v>
      </c>
      <c r="F78" s="108">
        <f t="shared" si="10"/>
        <v>0</v>
      </c>
      <c r="G78" s="108">
        <f t="shared" ref="G78:Z78" si="11">SUM(G79:G98)</f>
        <v>0</v>
      </c>
      <c r="H78" s="108">
        <f t="shared" si="11"/>
        <v>0</v>
      </c>
      <c r="I78" s="108">
        <f t="shared" si="11"/>
        <v>0</v>
      </c>
      <c r="J78" s="108">
        <f t="shared" si="11"/>
        <v>0</v>
      </c>
      <c r="K78" s="108">
        <f t="shared" si="11"/>
        <v>0</v>
      </c>
      <c r="L78" s="108">
        <f t="shared" si="11"/>
        <v>0</v>
      </c>
      <c r="M78" s="108">
        <f t="shared" si="11"/>
        <v>0</v>
      </c>
      <c r="N78" s="108">
        <f t="shared" si="11"/>
        <v>0</v>
      </c>
      <c r="O78" s="108">
        <f t="shared" si="11"/>
        <v>0</v>
      </c>
      <c r="P78" s="108">
        <f t="shared" si="11"/>
        <v>0</v>
      </c>
      <c r="Q78" s="108">
        <f t="shared" si="11"/>
        <v>0</v>
      </c>
      <c r="R78" s="108">
        <f t="shared" si="11"/>
        <v>0</v>
      </c>
      <c r="S78" s="108">
        <f t="shared" si="11"/>
        <v>0</v>
      </c>
      <c r="T78" s="108">
        <f t="shared" si="11"/>
        <v>0</v>
      </c>
      <c r="U78" s="108">
        <f t="shared" si="11"/>
        <v>0</v>
      </c>
      <c r="V78" s="108">
        <f t="shared" si="11"/>
        <v>0</v>
      </c>
      <c r="W78" s="108">
        <f t="shared" si="11"/>
        <v>0</v>
      </c>
      <c r="X78" s="108">
        <f t="shared" si="11"/>
        <v>0</v>
      </c>
      <c r="Y78" s="108">
        <f t="shared" si="11"/>
        <v>0</v>
      </c>
      <c r="Z78" s="108">
        <f t="shared" si="11"/>
        <v>0</v>
      </c>
    </row>
    <row r="79" spans="1:26" outlineLevel="2">
      <c r="A79" s="817" t="s">
        <v>1496</v>
      </c>
      <c r="B79" s="818" t="s">
        <v>1497</v>
      </c>
      <c r="C79" s="818">
        <v>635009</v>
      </c>
      <c r="D79" s="63">
        <v>1</v>
      </c>
      <c r="E79" s="60">
        <f t="shared" ref="E79:E98" si="12">SUM(F79:Z79)</f>
        <v>0</v>
      </c>
      <c r="F79" s="582">
        <f>IFERROR(IF(VLOOKUP(F$2,MODULY_CBA!$B$3:$N$23,13,0)&lt;='TCO TO BE- SW'!$D79,SUM('TCO TO BE- SW'!F$6:F$15)*VLOOKUP('TCO TO BE- SW'!F$2,MODULY_CBA!$B$3:$M$23,12,0),0),0)</f>
        <v>0</v>
      </c>
      <c r="G79" s="582">
        <f>IFERROR(IF(VLOOKUP(G$2,MODULY_CBA!$B$3:$N$23,13,0)&lt;='TCO TO BE- SW'!$D79,SUM('TCO TO BE- SW'!G$6:G$15)*VLOOKUP('TCO TO BE- SW'!G$2,MODULY_CBA!$B$3:$M$23,12,0),0),0)</f>
        <v>0</v>
      </c>
      <c r="H79" s="582">
        <f>IFERROR(IF(VLOOKUP(H$2,MODULY_CBA!$B$3:$N$23,13,0)&lt;='TCO TO BE- SW'!$D79,SUM('TCO TO BE- SW'!H$6:H$15)*VLOOKUP('TCO TO BE- SW'!H$2,MODULY_CBA!$B$3:$M$23,12,0),0),0)</f>
        <v>0</v>
      </c>
      <c r="I79" s="582">
        <f>IFERROR(IF(VLOOKUP(I$2,MODULY_CBA!$B$3:$N$23,13,0)&lt;='TCO TO BE- SW'!$D79,SUM('TCO TO BE- SW'!I$6:I$15)*VLOOKUP('TCO TO BE- SW'!I$2,MODULY_CBA!$B$3:$M$23,12,0),0),0)</f>
        <v>0</v>
      </c>
      <c r="J79" s="582">
        <f>IFERROR(IF(VLOOKUP(J$2,MODULY_CBA!$B$3:$N$23,13,0)&lt;='TCO TO BE- SW'!$D79,SUM('TCO TO BE- SW'!J$6:J$15)*VLOOKUP('TCO TO BE- SW'!J$2,MODULY_CBA!$B$3:$M$23,12,0),0),0)</f>
        <v>0</v>
      </c>
      <c r="K79" s="582">
        <f>IFERROR(IF(VLOOKUP(K$2,MODULY_CBA!$B$3:$N$23,13,0)&lt;='TCO TO BE- SW'!$D79,SUM('TCO TO BE- SW'!K$6:K$15)*VLOOKUP('TCO TO BE- SW'!K$2,MODULY_CBA!$B$3:$M$23,12,0),0),0)</f>
        <v>0</v>
      </c>
      <c r="L79" s="582">
        <f>IFERROR(IF(VLOOKUP(L$2,MODULY_CBA!$B$3:$N$23,13,0)&lt;='TCO TO BE- SW'!$D79,SUM('TCO TO BE- SW'!L$6:L$15)*VLOOKUP('TCO TO BE- SW'!L$2,MODULY_CBA!$B$3:$M$23,12,0),0),0)</f>
        <v>0</v>
      </c>
      <c r="M79" s="582">
        <f>IFERROR(IF(VLOOKUP(M$2,MODULY_CBA!$B$3:$N$23,13,0)&lt;='TCO TO BE- SW'!$D79,SUM('TCO TO BE- SW'!M$6:M$15)*VLOOKUP('TCO TO BE- SW'!M$2,MODULY_CBA!$B$3:$M$23,12,0),0),0)</f>
        <v>0</v>
      </c>
      <c r="N79" s="582">
        <f>IFERROR(IF(VLOOKUP(N$2,MODULY_CBA!$B$3:$N$23,13,0)&lt;='TCO TO BE- SW'!$D79,SUM('TCO TO BE- SW'!N$6:N$15)*VLOOKUP('TCO TO BE- SW'!N$2,MODULY_CBA!$B$3:$M$23,12,0),0),0)</f>
        <v>0</v>
      </c>
      <c r="O79" s="582">
        <f>IFERROR(IF(VLOOKUP(O$2,MODULY_CBA!$B$3:$N$23,13,0)&lt;='TCO TO BE- SW'!$D79,SUM('TCO TO BE- SW'!O$6:O$15)*VLOOKUP('TCO TO BE- SW'!O$2,MODULY_CBA!$B$3:$M$23,12,0),0),0)</f>
        <v>0</v>
      </c>
      <c r="P79" s="582">
        <f>IFERROR(IF(VLOOKUP(P$2,MODULY_CBA!$B$3:$N$23,13,0)&lt;='TCO TO BE- SW'!$D79,SUM('TCO TO BE- SW'!P$6:P$15)*VLOOKUP('TCO TO BE- SW'!P$2,MODULY_CBA!$B$3:$M$23,12,0),0),0)</f>
        <v>0</v>
      </c>
      <c r="Q79" s="582">
        <f>IFERROR(IF(VLOOKUP(Q$2,MODULY_CBA!$B$3:$N$23,13,0)&lt;='TCO TO BE- SW'!$D79,SUM('TCO TO BE- SW'!Q$6:Q$15)*VLOOKUP('TCO TO BE- SW'!Q$2,MODULY_CBA!$B$3:$M$23,12,0),0),0)</f>
        <v>0</v>
      </c>
      <c r="R79" s="582">
        <f>IFERROR(IF(VLOOKUP(R$2,MODULY_CBA!$B$3:$N$23,13,0)&lt;='TCO TO BE- SW'!$D79,SUM('TCO TO BE- SW'!R$6:R$15)*VLOOKUP('TCO TO BE- SW'!R$2,MODULY_CBA!$B$3:$M$23,12,0),0),0)</f>
        <v>0</v>
      </c>
      <c r="S79" s="582">
        <f>IFERROR(IF(VLOOKUP(S$2,MODULY_CBA!$B$3:$N$23,13,0)&lt;='TCO TO BE- SW'!$D79,SUM('TCO TO BE- SW'!S$6:S$15)*VLOOKUP('TCO TO BE- SW'!S$2,MODULY_CBA!$B$3:$M$23,12,0),0),0)</f>
        <v>0</v>
      </c>
      <c r="T79" s="582">
        <f>IFERROR(IF(VLOOKUP(T$2,MODULY_CBA!$B$3:$N$23,13,0)&lt;='TCO TO BE- SW'!$D79,SUM('TCO TO BE- SW'!T$6:T$15)*VLOOKUP('TCO TO BE- SW'!T$2,MODULY_CBA!$B$3:$M$23,12,0),0),0)</f>
        <v>0</v>
      </c>
      <c r="U79" s="582">
        <f>IFERROR(IF(VLOOKUP(U$2,MODULY_CBA!$B$3:$N$23,13,0)&lt;='TCO TO BE- SW'!$D79,SUM('TCO TO BE- SW'!U$6:U$15)*VLOOKUP('TCO TO BE- SW'!U$2,MODULY_CBA!$B$3:$M$23,12,0),0),0)</f>
        <v>0</v>
      </c>
      <c r="V79" s="582">
        <f>IFERROR(IF(VLOOKUP(V$2,MODULY_CBA!$B$3:$N$23,13,0)&lt;='TCO TO BE- SW'!$D79,SUM('TCO TO BE- SW'!V$6:V$15)*VLOOKUP('TCO TO BE- SW'!V$2,MODULY_CBA!$B$3:$M$23,12,0),0),0)</f>
        <v>0</v>
      </c>
      <c r="W79" s="582">
        <f>IFERROR(IF(VLOOKUP(W$2,MODULY_CBA!$B$3:$N$23,13,0)&lt;='TCO TO BE- SW'!$D79,SUM('TCO TO BE- SW'!W$6:W$15)*VLOOKUP('TCO TO BE- SW'!W$2,MODULY_CBA!$B$3:$M$23,12,0),0),0)</f>
        <v>0</v>
      </c>
      <c r="X79" s="582">
        <f>IFERROR(IF(VLOOKUP(X$2,MODULY_CBA!$B$3:$N$23,13,0)&lt;='TCO TO BE- SW'!$D79,SUM('TCO TO BE- SW'!X$6:X$15)*VLOOKUP('TCO TO BE- SW'!X$2,MODULY_CBA!$B$3:$M$23,12,0),0),0)</f>
        <v>0</v>
      </c>
      <c r="Y79" s="582">
        <f>IFERROR(IF(VLOOKUP(Y$2,MODULY_CBA!$B$3:$N$23,13,0)&lt;='TCO TO BE- SW'!$D79,SUM('TCO TO BE- SW'!Y$6:Y$15)*VLOOKUP('TCO TO BE- SW'!Y$2,MODULY_CBA!$B$3:$M$23,12,0),0),0)</f>
        <v>0</v>
      </c>
      <c r="Z79" s="582">
        <f>IFERROR(IF(VLOOKUP(Z$2,MODULY_CBA!$B$3:$N$23,13,0)&lt;='TCO TO BE- SW'!$D79,SUM('TCO TO BE- SW'!Z$6:Z$15)*VLOOKUP('TCO TO BE- SW'!Z$2,MODULY_CBA!$B$3:$M$23,12,0),0),0)</f>
        <v>0</v>
      </c>
    </row>
    <row r="80" spans="1:26" outlineLevel="2">
      <c r="A80" s="817"/>
      <c r="B80" s="818"/>
      <c r="C80" s="818"/>
      <c r="D80" s="64">
        <v>2</v>
      </c>
      <c r="E80" s="61">
        <f t="shared" si="12"/>
        <v>0</v>
      </c>
      <c r="F80" s="583">
        <f>IFERROR(IF(VLOOKUP(F$2,MODULY_CBA!$B$3:$N$23,13,0)&lt;='TCO TO BE- SW'!$D80,SUM('TCO TO BE- SW'!F$6:F$15)*VLOOKUP('TCO TO BE- SW'!F$2,MODULY_CBA!$B$3:$M$23,12,0),0),0)</f>
        <v>0</v>
      </c>
      <c r="G80" s="583">
        <f>IFERROR(IF(VLOOKUP(G$2,MODULY_CBA!$B$3:$N$23,13,0)&lt;='TCO TO BE- SW'!$D80,SUM('TCO TO BE- SW'!G$6:G$15)*VLOOKUP('TCO TO BE- SW'!G$2,MODULY_CBA!$B$3:$M$23,12,0),0),0)</f>
        <v>0</v>
      </c>
      <c r="H80" s="583">
        <f>IFERROR(IF(VLOOKUP(H$2,MODULY_CBA!$B$3:$N$23,13,0)&lt;='TCO TO BE- SW'!$D80,SUM('TCO TO BE- SW'!H$6:H$15)*VLOOKUP('TCO TO BE- SW'!H$2,MODULY_CBA!$B$3:$M$23,12,0),0),0)</f>
        <v>0</v>
      </c>
      <c r="I80" s="583">
        <f>IFERROR(IF(VLOOKUP(I$2,MODULY_CBA!$B$3:$N$23,13,0)&lt;='TCO TO BE- SW'!$D80,SUM('TCO TO BE- SW'!I$6:I$15)*VLOOKUP('TCO TO BE- SW'!I$2,MODULY_CBA!$B$3:$M$23,12,0),0),0)</f>
        <v>0</v>
      </c>
      <c r="J80" s="583">
        <f>IFERROR(IF(VLOOKUP(J$2,MODULY_CBA!$B$3:$N$23,13,0)&lt;='TCO TO BE- SW'!$D80,SUM('TCO TO BE- SW'!J$6:J$15)*VLOOKUP('TCO TO BE- SW'!J$2,MODULY_CBA!$B$3:$M$23,12,0),0),0)</f>
        <v>0</v>
      </c>
      <c r="K80" s="583">
        <f>IFERROR(IF(VLOOKUP(K$2,MODULY_CBA!$B$3:$N$23,13,0)&lt;='TCO TO BE- SW'!$D80,SUM('TCO TO BE- SW'!K$6:K$15)*VLOOKUP('TCO TO BE- SW'!K$2,MODULY_CBA!$B$3:$M$23,12,0),0),0)</f>
        <v>0</v>
      </c>
      <c r="L80" s="583">
        <f>IFERROR(IF(VLOOKUP(L$2,MODULY_CBA!$B$3:$N$23,13,0)&lt;='TCO TO BE- SW'!$D80,SUM('TCO TO BE- SW'!L$6:L$15)*VLOOKUP('TCO TO BE- SW'!L$2,MODULY_CBA!$B$3:$M$23,12,0),0),0)</f>
        <v>0</v>
      </c>
      <c r="M80" s="583">
        <f>IFERROR(IF(VLOOKUP(M$2,MODULY_CBA!$B$3:$N$23,13,0)&lt;='TCO TO BE- SW'!$D80,SUM('TCO TO BE- SW'!M$6:M$15)*VLOOKUP('TCO TO BE- SW'!M$2,MODULY_CBA!$B$3:$M$23,12,0),0),0)</f>
        <v>0</v>
      </c>
      <c r="N80" s="583">
        <f>IFERROR(IF(VLOOKUP(N$2,MODULY_CBA!$B$3:$N$23,13,0)&lt;='TCO TO BE- SW'!$D80,SUM('TCO TO BE- SW'!N$6:N$15)*VLOOKUP('TCO TO BE- SW'!N$2,MODULY_CBA!$B$3:$M$23,12,0),0),0)</f>
        <v>0</v>
      </c>
      <c r="O80" s="583">
        <f>IFERROR(IF(VLOOKUP(O$2,MODULY_CBA!$B$3:$N$23,13,0)&lt;='TCO TO BE- SW'!$D80,SUM('TCO TO BE- SW'!O$6:O$15)*VLOOKUP('TCO TO BE- SW'!O$2,MODULY_CBA!$B$3:$M$23,12,0),0),0)</f>
        <v>0</v>
      </c>
      <c r="P80" s="583">
        <f>IFERROR(IF(VLOOKUP(P$2,MODULY_CBA!$B$3:$N$23,13,0)&lt;='TCO TO BE- SW'!$D80,SUM('TCO TO BE- SW'!P$6:P$15)*VLOOKUP('TCO TO BE- SW'!P$2,MODULY_CBA!$B$3:$M$23,12,0),0),0)</f>
        <v>0</v>
      </c>
      <c r="Q80" s="583">
        <f>IFERROR(IF(VLOOKUP(Q$2,MODULY_CBA!$B$3:$N$23,13,0)&lt;='TCO TO BE- SW'!$D80,SUM('TCO TO BE- SW'!Q$6:Q$15)*VLOOKUP('TCO TO BE- SW'!Q$2,MODULY_CBA!$B$3:$M$23,12,0),0),0)</f>
        <v>0</v>
      </c>
      <c r="R80" s="583">
        <f>IFERROR(IF(VLOOKUP(R$2,MODULY_CBA!$B$3:$N$23,13,0)&lt;='TCO TO BE- SW'!$D80,SUM('TCO TO BE- SW'!R$6:R$15)*VLOOKUP('TCO TO BE- SW'!R$2,MODULY_CBA!$B$3:$M$23,12,0),0),0)</f>
        <v>0</v>
      </c>
      <c r="S80" s="583">
        <f>IFERROR(IF(VLOOKUP(S$2,MODULY_CBA!$B$3:$N$23,13,0)&lt;='TCO TO BE- SW'!$D80,SUM('TCO TO BE- SW'!S$6:S$15)*VLOOKUP('TCO TO BE- SW'!S$2,MODULY_CBA!$B$3:$M$23,12,0),0),0)</f>
        <v>0</v>
      </c>
      <c r="T80" s="583">
        <f>IFERROR(IF(VLOOKUP(T$2,MODULY_CBA!$B$3:$N$23,13,0)&lt;='TCO TO BE- SW'!$D80,SUM('TCO TO BE- SW'!T$6:T$15)*VLOOKUP('TCO TO BE- SW'!T$2,MODULY_CBA!$B$3:$M$23,12,0),0),0)</f>
        <v>0</v>
      </c>
      <c r="U80" s="583">
        <f>IFERROR(IF(VLOOKUP(U$2,MODULY_CBA!$B$3:$N$23,13,0)&lt;='TCO TO BE- SW'!$D80,SUM('TCO TO BE- SW'!U$6:U$15)*VLOOKUP('TCO TO BE- SW'!U$2,MODULY_CBA!$B$3:$M$23,12,0),0),0)</f>
        <v>0</v>
      </c>
      <c r="V80" s="583">
        <f>IFERROR(IF(VLOOKUP(V$2,MODULY_CBA!$B$3:$N$23,13,0)&lt;='TCO TO BE- SW'!$D80,SUM('TCO TO BE- SW'!V$6:V$15)*VLOOKUP('TCO TO BE- SW'!V$2,MODULY_CBA!$B$3:$M$23,12,0),0),0)</f>
        <v>0</v>
      </c>
      <c r="W80" s="583">
        <f>IFERROR(IF(VLOOKUP(W$2,MODULY_CBA!$B$3:$N$23,13,0)&lt;='TCO TO BE- SW'!$D80,SUM('TCO TO BE- SW'!W$6:W$15)*VLOOKUP('TCO TO BE- SW'!W$2,MODULY_CBA!$B$3:$M$23,12,0),0),0)</f>
        <v>0</v>
      </c>
      <c r="X80" s="583">
        <f>IFERROR(IF(VLOOKUP(X$2,MODULY_CBA!$B$3:$N$23,13,0)&lt;='TCO TO BE- SW'!$D80,SUM('TCO TO BE- SW'!X$6:X$15)*VLOOKUP('TCO TO BE- SW'!X$2,MODULY_CBA!$B$3:$M$23,12,0),0),0)</f>
        <v>0</v>
      </c>
      <c r="Y80" s="583">
        <f>IFERROR(IF(VLOOKUP(Y$2,MODULY_CBA!$B$3:$N$23,13,0)&lt;='TCO TO BE- SW'!$D80,SUM('TCO TO BE- SW'!Y$6:Y$15)*VLOOKUP('TCO TO BE- SW'!Y$2,MODULY_CBA!$B$3:$M$23,12,0),0),0)</f>
        <v>0</v>
      </c>
      <c r="Z80" s="583">
        <f>IFERROR(IF(VLOOKUP(Z$2,MODULY_CBA!$B$3:$N$23,13,0)&lt;='TCO TO BE- SW'!$D80,SUM('TCO TO BE- SW'!Z$6:Z$15)*VLOOKUP('TCO TO BE- SW'!Z$2,MODULY_CBA!$B$3:$M$23,12,0),0),0)</f>
        <v>0</v>
      </c>
    </row>
    <row r="81" spans="1:26" outlineLevel="2">
      <c r="A81" s="817"/>
      <c r="B81" s="818"/>
      <c r="C81" s="818"/>
      <c r="D81" s="64">
        <v>3</v>
      </c>
      <c r="E81" s="61">
        <f t="shared" si="12"/>
        <v>0</v>
      </c>
      <c r="F81" s="584">
        <f>IFERROR(IF(VLOOKUP(F$2,MODULY_CBA!$B$3:$N$23,13,0)&lt;='TCO TO BE- SW'!$D81,SUM('TCO TO BE- SW'!F$6:F$15)*VLOOKUP('TCO TO BE- SW'!F$2,MODULY_CBA!$B$3:$M$23,12,0),0),0)</f>
        <v>0</v>
      </c>
      <c r="G81" s="584">
        <f>IFERROR(IF(VLOOKUP(G$2,MODULY_CBA!$B$3:$N$23,13,0)&lt;='TCO TO BE- SW'!$D81,SUM('TCO TO BE- SW'!G$6:G$15)*VLOOKUP('TCO TO BE- SW'!G$2,MODULY_CBA!$B$3:$M$23,12,0),0),0)</f>
        <v>0</v>
      </c>
      <c r="H81" s="584">
        <f>IFERROR(IF(VLOOKUP(H$2,MODULY_CBA!$B$3:$N$23,13,0)&lt;='TCO TO BE- SW'!$D81,SUM('TCO TO BE- SW'!H$6:H$15)*VLOOKUP('TCO TO BE- SW'!H$2,MODULY_CBA!$B$3:$M$23,12,0),0),0)</f>
        <v>0</v>
      </c>
      <c r="I81" s="584">
        <f>IFERROR(IF(VLOOKUP(I$2,MODULY_CBA!$B$3:$N$23,13,0)&lt;='TCO TO BE- SW'!$D81,SUM('TCO TO BE- SW'!I$6:I$15)*VLOOKUP('TCO TO BE- SW'!I$2,MODULY_CBA!$B$3:$M$23,12,0),0),0)</f>
        <v>0</v>
      </c>
      <c r="J81" s="584">
        <f>IFERROR(IF(VLOOKUP(J$2,MODULY_CBA!$B$3:$N$23,13,0)&lt;='TCO TO BE- SW'!$D81,SUM('TCO TO BE- SW'!J$6:J$15)*VLOOKUP('TCO TO BE- SW'!J$2,MODULY_CBA!$B$3:$M$23,12,0),0),0)</f>
        <v>0</v>
      </c>
      <c r="K81" s="584">
        <f>IFERROR(IF(VLOOKUP(K$2,MODULY_CBA!$B$3:$N$23,13,0)&lt;='TCO TO BE- SW'!$D81,SUM('TCO TO BE- SW'!K$6:K$15)*VLOOKUP('TCO TO BE- SW'!K$2,MODULY_CBA!$B$3:$M$23,12,0),0),0)</f>
        <v>0</v>
      </c>
      <c r="L81" s="584">
        <f>IFERROR(IF(VLOOKUP(L$2,MODULY_CBA!$B$3:$N$23,13,0)&lt;='TCO TO BE- SW'!$D81,SUM('TCO TO BE- SW'!L$6:L$15)*VLOOKUP('TCO TO BE- SW'!L$2,MODULY_CBA!$B$3:$M$23,12,0),0),0)</f>
        <v>0</v>
      </c>
      <c r="M81" s="584">
        <f>IFERROR(IF(VLOOKUP(M$2,MODULY_CBA!$B$3:$N$23,13,0)&lt;='TCO TO BE- SW'!$D81,SUM('TCO TO BE- SW'!M$6:M$15)*VLOOKUP('TCO TO BE- SW'!M$2,MODULY_CBA!$B$3:$M$23,12,0),0),0)</f>
        <v>0</v>
      </c>
      <c r="N81" s="584">
        <f>IFERROR(IF(VLOOKUP(N$2,MODULY_CBA!$B$3:$N$23,13,0)&lt;='TCO TO BE- SW'!$D81,SUM('TCO TO BE- SW'!N$6:N$15)*VLOOKUP('TCO TO BE- SW'!N$2,MODULY_CBA!$B$3:$M$23,12,0),0),0)</f>
        <v>0</v>
      </c>
      <c r="O81" s="584">
        <f>IFERROR(IF(VLOOKUP(O$2,MODULY_CBA!$B$3:$N$23,13,0)&lt;='TCO TO BE- SW'!$D81,SUM('TCO TO BE- SW'!O$6:O$15)*VLOOKUP('TCO TO BE- SW'!O$2,MODULY_CBA!$B$3:$M$23,12,0),0),0)</f>
        <v>0</v>
      </c>
      <c r="P81" s="584">
        <f>IFERROR(IF(VLOOKUP(P$2,MODULY_CBA!$B$3:$N$23,13,0)&lt;='TCO TO BE- SW'!$D81,SUM('TCO TO BE- SW'!P$6:P$15)*VLOOKUP('TCO TO BE- SW'!P$2,MODULY_CBA!$B$3:$M$23,12,0),0),0)</f>
        <v>0</v>
      </c>
      <c r="Q81" s="584">
        <f>IFERROR(IF(VLOOKUP(Q$2,MODULY_CBA!$B$3:$N$23,13,0)&lt;='TCO TO BE- SW'!$D81,SUM('TCO TO BE- SW'!Q$6:Q$15)*VLOOKUP('TCO TO BE- SW'!Q$2,MODULY_CBA!$B$3:$M$23,12,0),0),0)</f>
        <v>0</v>
      </c>
      <c r="R81" s="584">
        <f>IFERROR(IF(VLOOKUP(R$2,MODULY_CBA!$B$3:$N$23,13,0)&lt;='TCO TO BE- SW'!$D81,SUM('TCO TO BE- SW'!R$6:R$15)*VLOOKUP('TCO TO BE- SW'!R$2,MODULY_CBA!$B$3:$M$23,12,0),0),0)</f>
        <v>0</v>
      </c>
      <c r="S81" s="584">
        <f>IFERROR(IF(VLOOKUP(S$2,MODULY_CBA!$B$3:$N$23,13,0)&lt;='TCO TO BE- SW'!$D81,SUM('TCO TO BE- SW'!S$6:S$15)*VLOOKUP('TCO TO BE- SW'!S$2,MODULY_CBA!$B$3:$M$23,12,0),0),0)</f>
        <v>0</v>
      </c>
      <c r="T81" s="584">
        <f>IFERROR(IF(VLOOKUP(T$2,MODULY_CBA!$B$3:$N$23,13,0)&lt;='TCO TO BE- SW'!$D81,SUM('TCO TO BE- SW'!T$6:T$15)*VLOOKUP('TCO TO BE- SW'!T$2,MODULY_CBA!$B$3:$M$23,12,0),0),0)</f>
        <v>0</v>
      </c>
      <c r="U81" s="584">
        <f>IFERROR(IF(VLOOKUP(U$2,MODULY_CBA!$B$3:$N$23,13,0)&lt;='TCO TO BE- SW'!$D81,SUM('TCO TO BE- SW'!U$6:U$15)*VLOOKUP('TCO TO BE- SW'!U$2,MODULY_CBA!$B$3:$M$23,12,0),0),0)</f>
        <v>0</v>
      </c>
      <c r="V81" s="584">
        <f>IFERROR(IF(VLOOKUP(V$2,MODULY_CBA!$B$3:$N$23,13,0)&lt;='TCO TO BE- SW'!$D81,SUM('TCO TO BE- SW'!V$6:V$15)*VLOOKUP('TCO TO BE- SW'!V$2,MODULY_CBA!$B$3:$M$23,12,0),0),0)</f>
        <v>0</v>
      </c>
      <c r="W81" s="584">
        <f>IFERROR(IF(VLOOKUP(W$2,MODULY_CBA!$B$3:$N$23,13,0)&lt;='TCO TO BE- SW'!$D81,SUM('TCO TO BE- SW'!W$6:W$15)*VLOOKUP('TCO TO BE- SW'!W$2,MODULY_CBA!$B$3:$M$23,12,0),0),0)</f>
        <v>0</v>
      </c>
      <c r="X81" s="584">
        <f>IFERROR(IF(VLOOKUP(X$2,MODULY_CBA!$B$3:$N$23,13,0)&lt;='TCO TO BE- SW'!$D81,SUM('TCO TO BE- SW'!X$6:X$15)*VLOOKUP('TCO TO BE- SW'!X$2,MODULY_CBA!$B$3:$M$23,12,0),0),0)</f>
        <v>0</v>
      </c>
      <c r="Y81" s="584">
        <f>IFERROR(IF(VLOOKUP(Y$2,MODULY_CBA!$B$3:$N$23,13,0)&lt;='TCO TO BE- SW'!$D81,SUM('TCO TO BE- SW'!Y$6:Y$15)*VLOOKUP('TCO TO BE- SW'!Y$2,MODULY_CBA!$B$3:$M$23,12,0),0),0)</f>
        <v>0</v>
      </c>
      <c r="Z81" s="584">
        <f>IFERROR(IF(VLOOKUP(Z$2,MODULY_CBA!$B$3:$N$23,13,0)&lt;='TCO TO BE- SW'!$D81,SUM('TCO TO BE- SW'!Z$6:Z$15)*VLOOKUP('TCO TO BE- SW'!Z$2,MODULY_CBA!$B$3:$M$23,12,0),0),0)</f>
        <v>0</v>
      </c>
    </row>
    <row r="82" spans="1:26" outlineLevel="2">
      <c r="A82" s="817"/>
      <c r="B82" s="818"/>
      <c r="C82" s="818"/>
      <c r="D82" s="64">
        <v>4</v>
      </c>
      <c r="E82" s="61">
        <f t="shared" si="12"/>
        <v>0</v>
      </c>
      <c r="F82" s="584">
        <f>IFERROR(IF(VLOOKUP(F$2,MODULY_CBA!$B$3:$N$23,13,0)&lt;='TCO TO BE- SW'!$D82,SUM('TCO TO BE- SW'!F$6:F$15)*VLOOKUP('TCO TO BE- SW'!F$2,MODULY_CBA!$B$3:$M$23,12,0),0),0)</f>
        <v>0</v>
      </c>
      <c r="G82" s="584">
        <f>IFERROR(IF(VLOOKUP(G$2,MODULY_CBA!$B$3:$N$23,13,0)&lt;='TCO TO BE- SW'!$D82,SUM('TCO TO BE- SW'!G$6:G$15)*VLOOKUP('TCO TO BE- SW'!G$2,MODULY_CBA!$B$3:$M$23,12,0),0),0)</f>
        <v>0</v>
      </c>
      <c r="H82" s="584">
        <f>IFERROR(IF(VLOOKUP(H$2,MODULY_CBA!$B$3:$N$23,13,0)&lt;='TCO TO BE- SW'!$D82,SUM('TCO TO BE- SW'!H$6:H$15)*VLOOKUP('TCO TO BE- SW'!H$2,MODULY_CBA!$B$3:$M$23,12,0),0),0)</f>
        <v>0</v>
      </c>
      <c r="I82" s="584">
        <f>IFERROR(IF(VLOOKUP(I$2,MODULY_CBA!$B$3:$N$23,13,0)&lt;='TCO TO BE- SW'!$D82,SUM('TCO TO BE- SW'!I$6:I$15)*VLOOKUP('TCO TO BE- SW'!I$2,MODULY_CBA!$B$3:$M$23,12,0),0),0)</f>
        <v>0</v>
      </c>
      <c r="J82" s="584">
        <f>IFERROR(IF(VLOOKUP(J$2,MODULY_CBA!$B$3:$N$23,13,0)&lt;='TCO TO BE- SW'!$D82,SUM('TCO TO BE- SW'!J$6:J$15)*VLOOKUP('TCO TO BE- SW'!J$2,MODULY_CBA!$B$3:$M$23,12,0),0),0)</f>
        <v>0</v>
      </c>
      <c r="K82" s="584">
        <f>IFERROR(IF(VLOOKUP(K$2,MODULY_CBA!$B$3:$N$23,13,0)&lt;='TCO TO BE- SW'!$D82,SUM('TCO TO BE- SW'!K$6:K$15)*VLOOKUP('TCO TO BE- SW'!K$2,MODULY_CBA!$B$3:$M$23,12,0),0),0)</f>
        <v>0</v>
      </c>
      <c r="L82" s="584">
        <f>IFERROR(IF(VLOOKUP(L$2,MODULY_CBA!$B$3:$N$23,13,0)&lt;='TCO TO BE- SW'!$D82,SUM('TCO TO BE- SW'!L$6:L$15)*VLOOKUP('TCO TO BE- SW'!L$2,MODULY_CBA!$B$3:$M$23,12,0),0),0)</f>
        <v>0</v>
      </c>
      <c r="M82" s="584">
        <f>IFERROR(IF(VLOOKUP(M$2,MODULY_CBA!$B$3:$N$23,13,0)&lt;='TCO TO BE- SW'!$D82,SUM('TCO TO BE- SW'!M$6:M$15)*VLOOKUP('TCO TO BE- SW'!M$2,MODULY_CBA!$B$3:$M$23,12,0),0),0)</f>
        <v>0</v>
      </c>
      <c r="N82" s="584">
        <f>IFERROR(IF(VLOOKUP(N$2,MODULY_CBA!$B$3:$N$23,13,0)&lt;='TCO TO BE- SW'!$D82,SUM('TCO TO BE- SW'!N$6:N$15)*VLOOKUP('TCO TO BE- SW'!N$2,MODULY_CBA!$B$3:$M$23,12,0),0),0)</f>
        <v>0</v>
      </c>
      <c r="O82" s="584">
        <f>IFERROR(IF(VLOOKUP(O$2,MODULY_CBA!$B$3:$N$23,13,0)&lt;='TCO TO BE- SW'!$D82,SUM('TCO TO BE- SW'!O$6:O$15)*VLOOKUP('TCO TO BE- SW'!O$2,MODULY_CBA!$B$3:$M$23,12,0),0),0)</f>
        <v>0</v>
      </c>
      <c r="P82" s="584">
        <f>IFERROR(IF(VLOOKUP(P$2,MODULY_CBA!$B$3:$N$23,13,0)&lt;='TCO TO BE- SW'!$D82,SUM('TCO TO BE- SW'!P$6:P$15)*VLOOKUP('TCO TO BE- SW'!P$2,MODULY_CBA!$B$3:$M$23,12,0),0),0)</f>
        <v>0</v>
      </c>
      <c r="Q82" s="584">
        <f>IFERROR(IF(VLOOKUP(Q$2,MODULY_CBA!$B$3:$N$23,13,0)&lt;='TCO TO BE- SW'!$D82,SUM('TCO TO BE- SW'!Q$6:Q$15)*VLOOKUP('TCO TO BE- SW'!Q$2,MODULY_CBA!$B$3:$M$23,12,0),0),0)</f>
        <v>0</v>
      </c>
      <c r="R82" s="584">
        <f>IFERROR(IF(VLOOKUP(R$2,MODULY_CBA!$B$3:$N$23,13,0)&lt;='TCO TO BE- SW'!$D82,SUM('TCO TO BE- SW'!R$6:R$15)*VLOOKUP('TCO TO BE- SW'!R$2,MODULY_CBA!$B$3:$M$23,12,0),0),0)</f>
        <v>0</v>
      </c>
      <c r="S82" s="584">
        <f>IFERROR(IF(VLOOKUP(S$2,MODULY_CBA!$B$3:$N$23,13,0)&lt;='TCO TO BE- SW'!$D82,SUM('TCO TO BE- SW'!S$6:S$15)*VLOOKUP('TCO TO BE- SW'!S$2,MODULY_CBA!$B$3:$M$23,12,0),0),0)</f>
        <v>0</v>
      </c>
      <c r="T82" s="584">
        <f>IFERROR(IF(VLOOKUP(T$2,MODULY_CBA!$B$3:$N$23,13,0)&lt;='TCO TO BE- SW'!$D82,SUM('TCO TO BE- SW'!T$6:T$15)*VLOOKUP('TCO TO BE- SW'!T$2,MODULY_CBA!$B$3:$M$23,12,0),0),0)</f>
        <v>0</v>
      </c>
      <c r="U82" s="584">
        <f>IFERROR(IF(VLOOKUP(U$2,MODULY_CBA!$B$3:$N$23,13,0)&lt;='TCO TO BE- SW'!$D82,SUM('TCO TO BE- SW'!U$6:U$15)*VLOOKUP('TCO TO BE- SW'!U$2,MODULY_CBA!$B$3:$M$23,12,0),0),0)</f>
        <v>0</v>
      </c>
      <c r="V82" s="584">
        <f>IFERROR(IF(VLOOKUP(V$2,MODULY_CBA!$B$3:$N$23,13,0)&lt;='TCO TO BE- SW'!$D82,SUM('TCO TO BE- SW'!V$6:V$15)*VLOOKUP('TCO TO BE- SW'!V$2,MODULY_CBA!$B$3:$M$23,12,0),0),0)</f>
        <v>0</v>
      </c>
      <c r="W82" s="584">
        <f>IFERROR(IF(VLOOKUP(W$2,MODULY_CBA!$B$3:$N$23,13,0)&lt;='TCO TO BE- SW'!$D82,SUM('TCO TO BE- SW'!W$6:W$15)*VLOOKUP('TCO TO BE- SW'!W$2,MODULY_CBA!$B$3:$M$23,12,0),0),0)</f>
        <v>0</v>
      </c>
      <c r="X82" s="584">
        <f>IFERROR(IF(VLOOKUP(X$2,MODULY_CBA!$B$3:$N$23,13,0)&lt;='TCO TO BE- SW'!$D82,SUM('TCO TO BE- SW'!X$6:X$15)*VLOOKUP('TCO TO BE- SW'!X$2,MODULY_CBA!$B$3:$M$23,12,0),0),0)</f>
        <v>0</v>
      </c>
      <c r="Y82" s="584">
        <f>IFERROR(IF(VLOOKUP(Y$2,MODULY_CBA!$B$3:$N$23,13,0)&lt;='TCO TO BE- SW'!$D82,SUM('TCO TO BE- SW'!Y$6:Y$15)*VLOOKUP('TCO TO BE- SW'!Y$2,MODULY_CBA!$B$3:$M$23,12,0),0),0)</f>
        <v>0</v>
      </c>
      <c r="Z82" s="584">
        <f>IFERROR(IF(VLOOKUP(Z$2,MODULY_CBA!$B$3:$N$23,13,0)&lt;='TCO TO BE- SW'!$D82,SUM('TCO TO BE- SW'!Z$6:Z$15)*VLOOKUP('TCO TO BE- SW'!Z$2,MODULY_CBA!$B$3:$M$23,12,0),0),0)</f>
        <v>0</v>
      </c>
    </row>
    <row r="83" spans="1:26" outlineLevel="2">
      <c r="A83" s="817"/>
      <c r="B83" s="818"/>
      <c r="C83" s="818"/>
      <c r="D83" s="64">
        <v>5</v>
      </c>
      <c r="E83" s="61">
        <f t="shared" si="12"/>
        <v>0</v>
      </c>
      <c r="F83" s="584">
        <f>IFERROR(IF(VLOOKUP(F$2,MODULY_CBA!$B$3:$N$23,13,0)&lt;='TCO TO BE- SW'!$D83,SUM('TCO TO BE- SW'!F$6:F$15)*VLOOKUP('TCO TO BE- SW'!F$2,MODULY_CBA!$B$3:$M$23,12,0),0),0)</f>
        <v>0</v>
      </c>
      <c r="G83" s="584">
        <f>IFERROR(IF(VLOOKUP(G$2,MODULY_CBA!$B$3:$N$23,13,0)&lt;='TCO TO BE- SW'!$D83,SUM('TCO TO BE- SW'!G$6:G$15)*VLOOKUP('TCO TO BE- SW'!G$2,MODULY_CBA!$B$3:$M$23,12,0),0),0)</f>
        <v>0</v>
      </c>
      <c r="H83" s="584">
        <f>IFERROR(IF(VLOOKUP(H$2,MODULY_CBA!$B$3:$N$23,13,0)&lt;='TCO TO BE- SW'!$D83,SUM('TCO TO BE- SW'!H$6:H$15)*VLOOKUP('TCO TO BE- SW'!H$2,MODULY_CBA!$B$3:$M$23,12,0),0),0)</f>
        <v>0</v>
      </c>
      <c r="I83" s="584">
        <f>IFERROR(IF(VLOOKUP(I$2,MODULY_CBA!$B$3:$N$23,13,0)&lt;='TCO TO BE- SW'!$D83,SUM('TCO TO BE- SW'!I$6:I$15)*VLOOKUP('TCO TO BE- SW'!I$2,MODULY_CBA!$B$3:$M$23,12,0),0),0)</f>
        <v>0</v>
      </c>
      <c r="J83" s="584">
        <f>IFERROR(IF(VLOOKUP(J$2,MODULY_CBA!$B$3:$N$23,13,0)&lt;='TCO TO BE- SW'!$D83,SUM('TCO TO BE- SW'!J$6:J$15)*VLOOKUP('TCO TO BE- SW'!J$2,MODULY_CBA!$B$3:$M$23,12,0),0),0)</f>
        <v>0</v>
      </c>
      <c r="K83" s="584">
        <f>IFERROR(IF(VLOOKUP(K$2,MODULY_CBA!$B$3:$N$23,13,0)&lt;='TCO TO BE- SW'!$D83,SUM('TCO TO BE- SW'!K$6:K$15)*VLOOKUP('TCO TO BE- SW'!K$2,MODULY_CBA!$B$3:$M$23,12,0),0),0)</f>
        <v>0</v>
      </c>
      <c r="L83" s="584">
        <f>IFERROR(IF(VLOOKUP(L$2,MODULY_CBA!$B$3:$N$23,13,0)&lt;='TCO TO BE- SW'!$D83,SUM('TCO TO BE- SW'!L$6:L$15)*VLOOKUP('TCO TO BE- SW'!L$2,MODULY_CBA!$B$3:$M$23,12,0),0),0)</f>
        <v>0</v>
      </c>
      <c r="M83" s="584">
        <f>IFERROR(IF(VLOOKUP(M$2,MODULY_CBA!$B$3:$N$23,13,0)&lt;='TCO TO BE- SW'!$D83,SUM('TCO TO BE- SW'!M$6:M$15)*VLOOKUP('TCO TO BE- SW'!M$2,MODULY_CBA!$B$3:$M$23,12,0),0),0)</f>
        <v>0</v>
      </c>
      <c r="N83" s="584">
        <f>IFERROR(IF(VLOOKUP(N$2,MODULY_CBA!$B$3:$N$23,13,0)&lt;='TCO TO BE- SW'!$D83,SUM('TCO TO BE- SW'!N$6:N$15)*VLOOKUP('TCO TO BE- SW'!N$2,MODULY_CBA!$B$3:$M$23,12,0),0),0)</f>
        <v>0</v>
      </c>
      <c r="O83" s="584">
        <f>IFERROR(IF(VLOOKUP(O$2,MODULY_CBA!$B$3:$N$23,13,0)&lt;='TCO TO BE- SW'!$D83,SUM('TCO TO BE- SW'!O$6:O$15)*VLOOKUP('TCO TO BE- SW'!O$2,MODULY_CBA!$B$3:$M$23,12,0),0),0)</f>
        <v>0</v>
      </c>
      <c r="P83" s="584">
        <f>IFERROR(IF(VLOOKUP(P$2,MODULY_CBA!$B$3:$N$23,13,0)&lt;='TCO TO BE- SW'!$D83,SUM('TCO TO BE- SW'!P$6:P$15)*VLOOKUP('TCO TO BE- SW'!P$2,MODULY_CBA!$B$3:$M$23,12,0),0),0)</f>
        <v>0</v>
      </c>
      <c r="Q83" s="584">
        <f>IFERROR(IF(VLOOKUP(Q$2,MODULY_CBA!$B$3:$N$23,13,0)&lt;='TCO TO BE- SW'!$D83,SUM('TCO TO BE- SW'!Q$6:Q$15)*VLOOKUP('TCO TO BE- SW'!Q$2,MODULY_CBA!$B$3:$M$23,12,0),0),0)</f>
        <v>0</v>
      </c>
      <c r="R83" s="584">
        <f>IFERROR(IF(VLOOKUP(R$2,MODULY_CBA!$B$3:$N$23,13,0)&lt;='TCO TO BE- SW'!$D83,SUM('TCO TO BE- SW'!R$6:R$15)*VLOOKUP('TCO TO BE- SW'!R$2,MODULY_CBA!$B$3:$M$23,12,0),0),0)</f>
        <v>0</v>
      </c>
      <c r="S83" s="584">
        <f>IFERROR(IF(VLOOKUP(S$2,MODULY_CBA!$B$3:$N$23,13,0)&lt;='TCO TO BE- SW'!$D83,SUM('TCO TO BE- SW'!S$6:S$15)*VLOOKUP('TCO TO BE- SW'!S$2,MODULY_CBA!$B$3:$M$23,12,0),0),0)</f>
        <v>0</v>
      </c>
      <c r="T83" s="584">
        <f>IFERROR(IF(VLOOKUP(T$2,MODULY_CBA!$B$3:$N$23,13,0)&lt;='TCO TO BE- SW'!$D83,SUM('TCO TO BE- SW'!T$6:T$15)*VLOOKUP('TCO TO BE- SW'!T$2,MODULY_CBA!$B$3:$M$23,12,0),0),0)</f>
        <v>0</v>
      </c>
      <c r="U83" s="584">
        <f>IFERROR(IF(VLOOKUP(U$2,MODULY_CBA!$B$3:$N$23,13,0)&lt;='TCO TO BE- SW'!$D83,SUM('TCO TO BE- SW'!U$6:U$15)*VLOOKUP('TCO TO BE- SW'!U$2,MODULY_CBA!$B$3:$M$23,12,0),0),0)</f>
        <v>0</v>
      </c>
      <c r="V83" s="584">
        <f>IFERROR(IF(VLOOKUP(V$2,MODULY_CBA!$B$3:$N$23,13,0)&lt;='TCO TO BE- SW'!$D83,SUM('TCO TO BE- SW'!V$6:V$15)*VLOOKUP('TCO TO BE- SW'!V$2,MODULY_CBA!$B$3:$M$23,12,0),0),0)</f>
        <v>0</v>
      </c>
      <c r="W83" s="584">
        <f>IFERROR(IF(VLOOKUP(W$2,MODULY_CBA!$B$3:$N$23,13,0)&lt;='TCO TO BE- SW'!$D83,SUM('TCO TO BE- SW'!W$6:W$15)*VLOOKUP('TCO TO BE- SW'!W$2,MODULY_CBA!$B$3:$M$23,12,0),0),0)</f>
        <v>0</v>
      </c>
      <c r="X83" s="584">
        <f>IFERROR(IF(VLOOKUP(X$2,MODULY_CBA!$B$3:$N$23,13,0)&lt;='TCO TO BE- SW'!$D83,SUM('TCO TO BE- SW'!X$6:X$15)*VLOOKUP('TCO TO BE- SW'!X$2,MODULY_CBA!$B$3:$M$23,12,0),0),0)</f>
        <v>0</v>
      </c>
      <c r="Y83" s="584">
        <f>IFERROR(IF(VLOOKUP(Y$2,MODULY_CBA!$B$3:$N$23,13,0)&lt;='TCO TO BE- SW'!$D83,SUM('TCO TO BE- SW'!Y$6:Y$15)*VLOOKUP('TCO TO BE- SW'!Y$2,MODULY_CBA!$B$3:$M$23,12,0),0),0)</f>
        <v>0</v>
      </c>
      <c r="Z83" s="584">
        <f>IFERROR(IF(VLOOKUP(Z$2,MODULY_CBA!$B$3:$N$23,13,0)&lt;='TCO TO BE- SW'!$D83,SUM('TCO TO BE- SW'!Z$6:Z$15)*VLOOKUP('TCO TO BE- SW'!Z$2,MODULY_CBA!$B$3:$M$23,12,0),0),0)</f>
        <v>0</v>
      </c>
    </row>
    <row r="84" spans="1:26" outlineLevel="2">
      <c r="A84" s="817"/>
      <c r="B84" s="818"/>
      <c r="C84" s="818"/>
      <c r="D84" s="64">
        <v>6</v>
      </c>
      <c r="E84" s="61">
        <f t="shared" si="12"/>
        <v>0</v>
      </c>
      <c r="F84" s="584">
        <f>IFERROR(IF(VLOOKUP(F$2,MODULY_CBA!$B$3:$N$23,13,0)&lt;='TCO TO BE- SW'!$D84,SUM('TCO TO BE- SW'!F$6:F$15)*VLOOKUP('TCO TO BE- SW'!F$2,MODULY_CBA!$B$3:$M$23,12,0),0),0)</f>
        <v>0</v>
      </c>
      <c r="G84" s="584">
        <f>IFERROR(IF(VLOOKUP(G$2,MODULY_CBA!$B$3:$N$23,13,0)&lt;='TCO TO BE- SW'!$D84,SUM('TCO TO BE- SW'!G$6:G$15)*VLOOKUP('TCO TO BE- SW'!G$2,MODULY_CBA!$B$3:$M$23,12,0),0),0)</f>
        <v>0</v>
      </c>
      <c r="H84" s="584">
        <f>IFERROR(IF(VLOOKUP(H$2,MODULY_CBA!$B$3:$N$23,13,0)&lt;='TCO TO BE- SW'!$D84,SUM('TCO TO BE- SW'!H$6:H$15)*VLOOKUP('TCO TO BE- SW'!H$2,MODULY_CBA!$B$3:$M$23,12,0),0),0)</f>
        <v>0</v>
      </c>
      <c r="I84" s="584">
        <f>IFERROR(IF(VLOOKUP(I$2,MODULY_CBA!$B$3:$N$23,13,0)&lt;='TCO TO BE- SW'!$D84,SUM('TCO TO BE- SW'!I$6:I$15)*VLOOKUP('TCO TO BE- SW'!I$2,MODULY_CBA!$B$3:$M$23,12,0),0),0)</f>
        <v>0</v>
      </c>
      <c r="J84" s="584">
        <f>IFERROR(IF(VLOOKUP(J$2,MODULY_CBA!$B$3:$N$23,13,0)&lt;='TCO TO BE- SW'!$D84,SUM('TCO TO BE- SW'!J$6:J$15)*VLOOKUP('TCO TO BE- SW'!J$2,MODULY_CBA!$B$3:$M$23,12,0),0),0)</f>
        <v>0</v>
      </c>
      <c r="K84" s="584">
        <f>IFERROR(IF(VLOOKUP(K$2,MODULY_CBA!$B$3:$N$23,13,0)&lt;='TCO TO BE- SW'!$D84,SUM('TCO TO BE- SW'!K$6:K$15)*VLOOKUP('TCO TO BE- SW'!K$2,MODULY_CBA!$B$3:$M$23,12,0),0),0)</f>
        <v>0</v>
      </c>
      <c r="L84" s="584">
        <f>IFERROR(IF(VLOOKUP(L$2,MODULY_CBA!$B$3:$N$23,13,0)&lt;='TCO TO BE- SW'!$D84,SUM('TCO TO BE- SW'!L$6:L$15)*VLOOKUP('TCO TO BE- SW'!L$2,MODULY_CBA!$B$3:$M$23,12,0),0),0)</f>
        <v>0</v>
      </c>
      <c r="M84" s="584">
        <f>IFERROR(IF(VLOOKUP(M$2,MODULY_CBA!$B$3:$N$23,13,0)&lt;='TCO TO BE- SW'!$D84,SUM('TCO TO BE- SW'!M$6:M$15)*VLOOKUP('TCO TO BE- SW'!M$2,MODULY_CBA!$B$3:$M$23,12,0),0),0)</f>
        <v>0</v>
      </c>
      <c r="N84" s="584">
        <f>IFERROR(IF(VLOOKUP(N$2,MODULY_CBA!$B$3:$N$23,13,0)&lt;='TCO TO BE- SW'!$D84,SUM('TCO TO BE- SW'!N$6:N$15)*VLOOKUP('TCO TO BE- SW'!N$2,MODULY_CBA!$B$3:$M$23,12,0),0),0)</f>
        <v>0</v>
      </c>
      <c r="O84" s="584">
        <f>IFERROR(IF(VLOOKUP(O$2,MODULY_CBA!$B$3:$N$23,13,0)&lt;='TCO TO BE- SW'!$D84,SUM('TCO TO BE- SW'!O$6:O$15)*VLOOKUP('TCO TO BE- SW'!O$2,MODULY_CBA!$B$3:$M$23,12,0),0),0)</f>
        <v>0</v>
      </c>
      <c r="P84" s="584">
        <f>IFERROR(IF(VLOOKUP(P$2,MODULY_CBA!$B$3:$N$23,13,0)&lt;='TCO TO BE- SW'!$D84,SUM('TCO TO BE- SW'!P$6:P$15)*VLOOKUP('TCO TO BE- SW'!P$2,MODULY_CBA!$B$3:$M$23,12,0),0),0)</f>
        <v>0</v>
      </c>
      <c r="Q84" s="584">
        <f>IFERROR(IF(VLOOKUP(Q$2,MODULY_CBA!$B$3:$N$23,13,0)&lt;='TCO TO BE- SW'!$D84,SUM('TCO TO BE- SW'!Q$6:Q$15)*VLOOKUP('TCO TO BE- SW'!Q$2,MODULY_CBA!$B$3:$M$23,12,0),0),0)</f>
        <v>0</v>
      </c>
      <c r="R84" s="584">
        <f>IFERROR(IF(VLOOKUP(R$2,MODULY_CBA!$B$3:$N$23,13,0)&lt;='TCO TO BE- SW'!$D84,SUM('TCO TO BE- SW'!R$6:R$15)*VLOOKUP('TCO TO BE- SW'!R$2,MODULY_CBA!$B$3:$M$23,12,0),0),0)</f>
        <v>0</v>
      </c>
      <c r="S84" s="584">
        <f>IFERROR(IF(VLOOKUP(S$2,MODULY_CBA!$B$3:$N$23,13,0)&lt;='TCO TO BE- SW'!$D84,SUM('TCO TO BE- SW'!S$6:S$15)*VLOOKUP('TCO TO BE- SW'!S$2,MODULY_CBA!$B$3:$M$23,12,0),0),0)</f>
        <v>0</v>
      </c>
      <c r="T84" s="584">
        <f>IFERROR(IF(VLOOKUP(T$2,MODULY_CBA!$B$3:$N$23,13,0)&lt;='TCO TO BE- SW'!$D84,SUM('TCO TO BE- SW'!T$6:T$15)*VLOOKUP('TCO TO BE- SW'!T$2,MODULY_CBA!$B$3:$M$23,12,0),0),0)</f>
        <v>0</v>
      </c>
      <c r="U84" s="584">
        <f>IFERROR(IF(VLOOKUP(U$2,MODULY_CBA!$B$3:$N$23,13,0)&lt;='TCO TO BE- SW'!$D84,SUM('TCO TO BE- SW'!U$6:U$15)*VLOOKUP('TCO TO BE- SW'!U$2,MODULY_CBA!$B$3:$M$23,12,0),0),0)</f>
        <v>0</v>
      </c>
      <c r="V84" s="584">
        <f>IFERROR(IF(VLOOKUP(V$2,MODULY_CBA!$B$3:$N$23,13,0)&lt;='TCO TO BE- SW'!$D84,SUM('TCO TO BE- SW'!V$6:V$15)*VLOOKUP('TCO TO BE- SW'!V$2,MODULY_CBA!$B$3:$M$23,12,0),0),0)</f>
        <v>0</v>
      </c>
      <c r="W84" s="584">
        <f>IFERROR(IF(VLOOKUP(W$2,MODULY_CBA!$B$3:$N$23,13,0)&lt;='TCO TO BE- SW'!$D84,SUM('TCO TO BE- SW'!W$6:W$15)*VLOOKUP('TCO TO BE- SW'!W$2,MODULY_CBA!$B$3:$M$23,12,0),0),0)</f>
        <v>0</v>
      </c>
      <c r="X84" s="584">
        <f>IFERROR(IF(VLOOKUP(X$2,MODULY_CBA!$B$3:$N$23,13,0)&lt;='TCO TO BE- SW'!$D84,SUM('TCO TO BE- SW'!X$6:X$15)*VLOOKUP('TCO TO BE- SW'!X$2,MODULY_CBA!$B$3:$M$23,12,0),0),0)</f>
        <v>0</v>
      </c>
      <c r="Y84" s="584">
        <f>IFERROR(IF(VLOOKUP(Y$2,MODULY_CBA!$B$3:$N$23,13,0)&lt;='TCO TO BE- SW'!$D84,SUM('TCO TO BE- SW'!Y$6:Y$15)*VLOOKUP('TCO TO BE- SW'!Y$2,MODULY_CBA!$B$3:$M$23,12,0),0),0)</f>
        <v>0</v>
      </c>
      <c r="Z84" s="584">
        <f>IFERROR(IF(VLOOKUP(Z$2,MODULY_CBA!$B$3:$N$23,13,0)&lt;='TCO TO BE- SW'!$D84,SUM('TCO TO BE- SW'!Z$6:Z$15)*VLOOKUP('TCO TO BE- SW'!Z$2,MODULY_CBA!$B$3:$M$23,12,0),0),0)</f>
        <v>0</v>
      </c>
    </row>
    <row r="85" spans="1:26" outlineLevel="2">
      <c r="A85" s="817"/>
      <c r="B85" s="818"/>
      <c r="C85" s="818"/>
      <c r="D85" s="64">
        <v>7</v>
      </c>
      <c r="E85" s="61">
        <f t="shared" si="12"/>
        <v>0</v>
      </c>
      <c r="F85" s="584">
        <f>IFERROR(IF(VLOOKUP(F$2,MODULY_CBA!$B$3:$N$23,13,0)&lt;='TCO TO BE- SW'!$D85,SUM('TCO TO BE- SW'!F$6:F$15)*VLOOKUP('TCO TO BE- SW'!F$2,MODULY_CBA!$B$3:$M$23,12,0),0),0)</f>
        <v>0</v>
      </c>
      <c r="G85" s="584">
        <f>IFERROR(IF(VLOOKUP(G$2,MODULY_CBA!$B$3:$N$23,13,0)&lt;='TCO TO BE- SW'!$D85,SUM('TCO TO BE- SW'!G$6:G$15)*VLOOKUP('TCO TO BE- SW'!G$2,MODULY_CBA!$B$3:$M$23,12,0),0),0)</f>
        <v>0</v>
      </c>
      <c r="H85" s="584">
        <f>IFERROR(IF(VLOOKUP(H$2,MODULY_CBA!$B$3:$N$23,13,0)&lt;='TCO TO BE- SW'!$D85,SUM('TCO TO BE- SW'!H$6:H$15)*VLOOKUP('TCO TO BE- SW'!H$2,MODULY_CBA!$B$3:$M$23,12,0),0),0)</f>
        <v>0</v>
      </c>
      <c r="I85" s="584">
        <f>IFERROR(IF(VLOOKUP(I$2,MODULY_CBA!$B$3:$N$23,13,0)&lt;='TCO TO BE- SW'!$D85,SUM('TCO TO BE- SW'!I$6:I$15)*VLOOKUP('TCO TO BE- SW'!I$2,MODULY_CBA!$B$3:$M$23,12,0),0),0)</f>
        <v>0</v>
      </c>
      <c r="J85" s="584">
        <f>IFERROR(IF(VLOOKUP(J$2,MODULY_CBA!$B$3:$N$23,13,0)&lt;='TCO TO BE- SW'!$D85,SUM('TCO TO BE- SW'!J$6:J$15)*VLOOKUP('TCO TO BE- SW'!J$2,MODULY_CBA!$B$3:$M$23,12,0),0),0)</f>
        <v>0</v>
      </c>
      <c r="K85" s="584">
        <f>IFERROR(IF(VLOOKUP(K$2,MODULY_CBA!$B$3:$N$23,13,0)&lt;='TCO TO BE- SW'!$D85,SUM('TCO TO BE- SW'!K$6:K$15)*VLOOKUP('TCO TO BE- SW'!K$2,MODULY_CBA!$B$3:$M$23,12,0),0),0)</f>
        <v>0</v>
      </c>
      <c r="L85" s="584">
        <f>IFERROR(IF(VLOOKUP(L$2,MODULY_CBA!$B$3:$N$23,13,0)&lt;='TCO TO BE- SW'!$D85,SUM('TCO TO BE- SW'!L$6:L$15)*VLOOKUP('TCO TO BE- SW'!L$2,MODULY_CBA!$B$3:$M$23,12,0),0),0)</f>
        <v>0</v>
      </c>
      <c r="M85" s="584">
        <f>IFERROR(IF(VLOOKUP(M$2,MODULY_CBA!$B$3:$N$23,13,0)&lt;='TCO TO BE- SW'!$D85,SUM('TCO TO BE- SW'!M$6:M$15)*VLOOKUP('TCO TO BE- SW'!M$2,MODULY_CBA!$B$3:$M$23,12,0),0),0)</f>
        <v>0</v>
      </c>
      <c r="N85" s="584">
        <f>IFERROR(IF(VLOOKUP(N$2,MODULY_CBA!$B$3:$N$23,13,0)&lt;='TCO TO BE- SW'!$D85,SUM('TCO TO BE- SW'!N$6:N$15)*VLOOKUP('TCO TO BE- SW'!N$2,MODULY_CBA!$B$3:$M$23,12,0),0),0)</f>
        <v>0</v>
      </c>
      <c r="O85" s="584">
        <f>IFERROR(IF(VLOOKUP(O$2,MODULY_CBA!$B$3:$N$23,13,0)&lt;='TCO TO BE- SW'!$D85,SUM('TCO TO BE- SW'!O$6:O$15)*VLOOKUP('TCO TO BE- SW'!O$2,MODULY_CBA!$B$3:$M$23,12,0),0),0)</f>
        <v>0</v>
      </c>
      <c r="P85" s="584">
        <f>IFERROR(IF(VLOOKUP(P$2,MODULY_CBA!$B$3:$N$23,13,0)&lt;='TCO TO BE- SW'!$D85,SUM('TCO TO BE- SW'!P$6:P$15)*VLOOKUP('TCO TO BE- SW'!P$2,MODULY_CBA!$B$3:$M$23,12,0),0),0)</f>
        <v>0</v>
      </c>
      <c r="Q85" s="584">
        <f>IFERROR(IF(VLOOKUP(Q$2,MODULY_CBA!$B$3:$N$23,13,0)&lt;='TCO TO BE- SW'!$D85,SUM('TCO TO BE- SW'!Q$6:Q$15)*VLOOKUP('TCO TO BE- SW'!Q$2,MODULY_CBA!$B$3:$M$23,12,0),0),0)</f>
        <v>0</v>
      </c>
      <c r="R85" s="584">
        <f>IFERROR(IF(VLOOKUP(R$2,MODULY_CBA!$B$3:$N$23,13,0)&lt;='TCO TO BE- SW'!$D85,SUM('TCO TO BE- SW'!R$6:R$15)*VLOOKUP('TCO TO BE- SW'!R$2,MODULY_CBA!$B$3:$M$23,12,0),0),0)</f>
        <v>0</v>
      </c>
      <c r="S85" s="584">
        <f>IFERROR(IF(VLOOKUP(S$2,MODULY_CBA!$B$3:$N$23,13,0)&lt;='TCO TO BE- SW'!$D85,SUM('TCO TO BE- SW'!S$6:S$15)*VLOOKUP('TCO TO BE- SW'!S$2,MODULY_CBA!$B$3:$M$23,12,0),0),0)</f>
        <v>0</v>
      </c>
      <c r="T85" s="584">
        <f>IFERROR(IF(VLOOKUP(T$2,MODULY_CBA!$B$3:$N$23,13,0)&lt;='TCO TO BE- SW'!$D85,SUM('TCO TO BE- SW'!T$6:T$15)*VLOOKUP('TCO TO BE- SW'!T$2,MODULY_CBA!$B$3:$M$23,12,0),0),0)</f>
        <v>0</v>
      </c>
      <c r="U85" s="584">
        <f>IFERROR(IF(VLOOKUP(U$2,MODULY_CBA!$B$3:$N$23,13,0)&lt;='TCO TO BE- SW'!$D85,SUM('TCO TO BE- SW'!U$6:U$15)*VLOOKUP('TCO TO BE- SW'!U$2,MODULY_CBA!$B$3:$M$23,12,0),0),0)</f>
        <v>0</v>
      </c>
      <c r="V85" s="584">
        <f>IFERROR(IF(VLOOKUP(V$2,MODULY_CBA!$B$3:$N$23,13,0)&lt;='TCO TO BE- SW'!$D85,SUM('TCO TO BE- SW'!V$6:V$15)*VLOOKUP('TCO TO BE- SW'!V$2,MODULY_CBA!$B$3:$M$23,12,0),0),0)</f>
        <v>0</v>
      </c>
      <c r="W85" s="584">
        <f>IFERROR(IF(VLOOKUP(W$2,MODULY_CBA!$B$3:$N$23,13,0)&lt;='TCO TO BE- SW'!$D85,SUM('TCO TO BE- SW'!W$6:W$15)*VLOOKUP('TCO TO BE- SW'!W$2,MODULY_CBA!$B$3:$M$23,12,0),0),0)</f>
        <v>0</v>
      </c>
      <c r="X85" s="584">
        <f>IFERROR(IF(VLOOKUP(X$2,MODULY_CBA!$B$3:$N$23,13,0)&lt;='TCO TO BE- SW'!$D85,SUM('TCO TO BE- SW'!X$6:X$15)*VLOOKUP('TCO TO BE- SW'!X$2,MODULY_CBA!$B$3:$M$23,12,0),0),0)</f>
        <v>0</v>
      </c>
      <c r="Y85" s="584">
        <f>IFERROR(IF(VLOOKUP(Y$2,MODULY_CBA!$B$3:$N$23,13,0)&lt;='TCO TO BE- SW'!$D85,SUM('TCO TO BE- SW'!Y$6:Y$15)*VLOOKUP('TCO TO BE- SW'!Y$2,MODULY_CBA!$B$3:$M$23,12,0),0),0)</f>
        <v>0</v>
      </c>
      <c r="Z85" s="584">
        <f>IFERROR(IF(VLOOKUP(Z$2,MODULY_CBA!$B$3:$N$23,13,0)&lt;='TCO TO BE- SW'!$D85,SUM('TCO TO BE- SW'!Z$6:Z$15)*VLOOKUP('TCO TO BE- SW'!Z$2,MODULY_CBA!$B$3:$M$23,12,0),0),0)</f>
        <v>0</v>
      </c>
    </row>
    <row r="86" spans="1:26" outlineLevel="2">
      <c r="A86" s="817"/>
      <c r="B86" s="818"/>
      <c r="C86" s="818"/>
      <c r="D86" s="64">
        <v>8</v>
      </c>
      <c r="E86" s="61">
        <f t="shared" si="12"/>
        <v>0</v>
      </c>
      <c r="F86" s="584">
        <f>IFERROR(IF(VLOOKUP(F$2,MODULY_CBA!$B$3:$N$23,13,0)&lt;='TCO TO BE- SW'!$D86,SUM('TCO TO BE- SW'!F$6:F$15)*VLOOKUP('TCO TO BE- SW'!F$2,MODULY_CBA!$B$3:$M$23,12,0),0),0)</f>
        <v>0</v>
      </c>
      <c r="G86" s="584">
        <f>IFERROR(IF(VLOOKUP(G$2,MODULY_CBA!$B$3:$N$23,13,0)&lt;='TCO TO BE- SW'!$D86,SUM('TCO TO BE- SW'!G$6:G$15)*VLOOKUP('TCO TO BE- SW'!G$2,MODULY_CBA!$B$3:$M$23,12,0),0),0)</f>
        <v>0</v>
      </c>
      <c r="H86" s="584">
        <f>IFERROR(IF(VLOOKUP(H$2,MODULY_CBA!$B$3:$N$23,13,0)&lt;='TCO TO BE- SW'!$D86,SUM('TCO TO BE- SW'!H$6:H$15)*VLOOKUP('TCO TO BE- SW'!H$2,MODULY_CBA!$B$3:$M$23,12,0),0),0)</f>
        <v>0</v>
      </c>
      <c r="I86" s="584">
        <f>IFERROR(IF(VLOOKUP(I$2,MODULY_CBA!$B$3:$N$23,13,0)&lt;='TCO TO BE- SW'!$D86,SUM('TCO TO BE- SW'!I$6:I$15)*VLOOKUP('TCO TO BE- SW'!I$2,MODULY_CBA!$B$3:$M$23,12,0),0),0)</f>
        <v>0</v>
      </c>
      <c r="J86" s="584">
        <f>IFERROR(IF(VLOOKUP(J$2,MODULY_CBA!$B$3:$N$23,13,0)&lt;='TCO TO BE- SW'!$D86,SUM('TCO TO BE- SW'!J$6:J$15)*VLOOKUP('TCO TO BE- SW'!J$2,MODULY_CBA!$B$3:$M$23,12,0),0),0)</f>
        <v>0</v>
      </c>
      <c r="K86" s="584">
        <f>IFERROR(IF(VLOOKUP(K$2,MODULY_CBA!$B$3:$N$23,13,0)&lt;='TCO TO BE- SW'!$D86,SUM('TCO TO BE- SW'!K$6:K$15)*VLOOKUP('TCO TO BE- SW'!K$2,MODULY_CBA!$B$3:$M$23,12,0),0),0)</f>
        <v>0</v>
      </c>
      <c r="L86" s="584">
        <f>IFERROR(IF(VLOOKUP(L$2,MODULY_CBA!$B$3:$N$23,13,0)&lt;='TCO TO BE- SW'!$D86,SUM('TCO TO BE- SW'!L$6:L$15)*VLOOKUP('TCO TO BE- SW'!L$2,MODULY_CBA!$B$3:$M$23,12,0),0),0)</f>
        <v>0</v>
      </c>
      <c r="M86" s="584">
        <f>IFERROR(IF(VLOOKUP(M$2,MODULY_CBA!$B$3:$N$23,13,0)&lt;='TCO TO BE- SW'!$D86,SUM('TCO TO BE- SW'!M$6:M$15)*VLOOKUP('TCO TO BE- SW'!M$2,MODULY_CBA!$B$3:$M$23,12,0),0),0)</f>
        <v>0</v>
      </c>
      <c r="N86" s="584">
        <f>IFERROR(IF(VLOOKUP(N$2,MODULY_CBA!$B$3:$N$23,13,0)&lt;='TCO TO BE- SW'!$D86,SUM('TCO TO BE- SW'!N$6:N$15)*VLOOKUP('TCO TO BE- SW'!N$2,MODULY_CBA!$B$3:$M$23,12,0),0),0)</f>
        <v>0</v>
      </c>
      <c r="O86" s="584">
        <f>IFERROR(IF(VLOOKUP(O$2,MODULY_CBA!$B$3:$N$23,13,0)&lt;='TCO TO BE- SW'!$D86,SUM('TCO TO BE- SW'!O$6:O$15)*VLOOKUP('TCO TO BE- SW'!O$2,MODULY_CBA!$B$3:$M$23,12,0),0),0)</f>
        <v>0</v>
      </c>
      <c r="P86" s="584">
        <f>IFERROR(IF(VLOOKUP(P$2,MODULY_CBA!$B$3:$N$23,13,0)&lt;='TCO TO BE- SW'!$D86,SUM('TCO TO BE- SW'!P$6:P$15)*VLOOKUP('TCO TO BE- SW'!P$2,MODULY_CBA!$B$3:$M$23,12,0),0),0)</f>
        <v>0</v>
      </c>
      <c r="Q86" s="584">
        <f>IFERROR(IF(VLOOKUP(Q$2,MODULY_CBA!$B$3:$N$23,13,0)&lt;='TCO TO BE- SW'!$D86,SUM('TCO TO BE- SW'!Q$6:Q$15)*VLOOKUP('TCO TO BE- SW'!Q$2,MODULY_CBA!$B$3:$M$23,12,0),0),0)</f>
        <v>0</v>
      </c>
      <c r="R86" s="584">
        <f>IFERROR(IF(VLOOKUP(R$2,MODULY_CBA!$B$3:$N$23,13,0)&lt;='TCO TO BE- SW'!$D86,SUM('TCO TO BE- SW'!R$6:R$15)*VLOOKUP('TCO TO BE- SW'!R$2,MODULY_CBA!$B$3:$M$23,12,0),0),0)</f>
        <v>0</v>
      </c>
      <c r="S86" s="584">
        <f>IFERROR(IF(VLOOKUP(S$2,MODULY_CBA!$B$3:$N$23,13,0)&lt;='TCO TO BE- SW'!$D86,SUM('TCO TO BE- SW'!S$6:S$15)*VLOOKUP('TCO TO BE- SW'!S$2,MODULY_CBA!$B$3:$M$23,12,0),0),0)</f>
        <v>0</v>
      </c>
      <c r="T86" s="584">
        <f>IFERROR(IF(VLOOKUP(T$2,MODULY_CBA!$B$3:$N$23,13,0)&lt;='TCO TO BE- SW'!$D86,SUM('TCO TO BE- SW'!T$6:T$15)*VLOOKUP('TCO TO BE- SW'!T$2,MODULY_CBA!$B$3:$M$23,12,0),0),0)</f>
        <v>0</v>
      </c>
      <c r="U86" s="584">
        <f>IFERROR(IF(VLOOKUP(U$2,MODULY_CBA!$B$3:$N$23,13,0)&lt;='TCO TO BE- SW'!$D86,SUM('TCO TO BE- SW'!U$6:U$15)*VLOOKUP('TCO TO BE- SW'!U$2,MODULY_CBA!$B$3:$M$23,12,0),0),0)</f>
        <v>0</v>
      </c>
      <c r="V86" s="584">
        <f>IFERROR(IF(VLOOKUP(V$2,MODULY_CBA!$B$3:$N$23,13,0)&lt;='TCO TO BE- SW'!$D86,SUM('TCO TO BE- SW'!V$6:V$15)*VLOOKUP('TCO TO BE- SW'!V$2,MODULY_CBA!$B$3:$M$23,12,0),0),0)</f>
        <v>0</v>
      </c>
      <c r="W86" s="584">
        <f>IFERROR(IF(VLOOKUP(W$2,MODULY_CBA!$B$3:$N$23,13,0)&lt;='TCO TO BE- SW'!$D86,SUM('TCO TO BE- SW'!W$6:W$15)*VLOOKUP('TCO TO BE- SW'!W$2,MODULY_CBA!$B$3:$M$23,12,0),0),0)</f>
        <v>0</v>
      </c>
      <c r="X86" s="584">
        <f>IFERROR(IF(VLOOKUP(X$2,MODULY_CBA!$B$3:$N$23,13,0)&lt;='TCO TO BE- SW'!$D86,SUM('TCO TO BE- SW'!X$6:X$15)*VLOOKUP('TCO TO BE- SW'!X$2,MODULY_CBA!$B$3:$M$23,12,0),0),0)</f>
        <v>0</v>
      </c>
      <c r="Y86" s="584">
        <f>IFERROR(IF(VLOOKUP(Y$2,MODULY_CBA!$B$3:$N$23,13,0)&lt;='TCO TO BE- SW'!$D86,SUM('TCO TO BE- SW'!Y$6:Y$15)*VLOOKUP('TCO TO BE- SW'!Y$2,MODULY_CBA!$B$3:$M$23,12,0),0),0)</f>
        <v>0</v>
      </c>
      <c r="Z86" s="584">
        <f>IFERROR(IF(VLOOKUP(Z$2,MODULY_CBA!$B$3:$N$23,13,0)&lt;='TCO TO BE- SW'!$D86,SUM('TCO TO BE- SW'!Z$6:Z$15)*VLOOKUP('TCO TO BE- SW'!Z$2,MODULY_CBA!$B$3:$M$23,12,0),0),0)</f>
        <v>0</v>
      </c>
    </row>
    <row r="87" spans="1:26" outlineLevel="2">
      <c r="A87" s="817"/>
      <c r="B87" s="818"/>
      <c r="C87" s="818"/>
      <c r="D87" s="64">
        <v>9</v>
      </c>
      <c r="E87" s="61">
        <f t="shared" si="12"/>
        <v>0</v>
      </c>
      <c r="F87" s="584">
        <f>IFERROR(IF(VLOOKUP(F$2,MODULY_CBA!$B$3:$N$23,13,0)&lt;='TCO TO BE- SW'!$D87,SUM('TCO TO BE- SW'!F$6:F$15)*VLOOKUP('TCO TO BE- SW'!F$2,MODULY_CBA!$B$3:$M$23,12,0),0),0)</f>
        <v>0</v>
      </c>
      <c r="G87" s="584">
        <f>IFERROR(IF(VLOOKUP(G$2,MODULY_CBA!$B$3:$N$23,13,0)&lt;='TCO TO BE- SW'!$D87,SUM('TCO TO BE- SW'!G$6:G$15)*VLOOKUP('TCO TO BE- SW'!G$2,MODULY_CBA!$B$3:$M$23,12,0),0),0)</f>
        <v>0</v>
      </c>
      <c r="H87" s="584">
        <f>IFERROR(IF(VLOOKUP(H$2,MODULY_CBA!$B$3:$N$23,13,0)&lt;='TCO TO BE- SW'!$D87,SUM('TCO TO BE- SW'!H$6:H$15)*VLOOKUP('TCO TO BE- SW'!H$2,MODULY_CBA!$B$3:$M$23,12,0),0),0)</f>
        <v>0</v>
      </c>
      <c r="I87" s="584">
        <f>IFERROR(IF(VLOOKUP(I$2,MODULY_CBA!$B$3:$N$23,13,0)&lt;='TCO TO BE- SW'!$D87,SUM('TCO TO BE- SW'!I$6:I$15)*VLOOKUP('TCO TO BE- SW'!I$2,MODULY_CBA!$B$3:$M$23,12,0),0),0)</f>
        <v>0</v>
      </c>
      <c r="J87" s="584">
        <f>IFERROR(IF(VLOOKUP(J$2,MODULY_CBA!$B$3:$N$23,13,0)&lt;='TCO TO BE- SW'!$D87,SUM('TCO TO BE- SW'!J$6:J$15)*VLOOKUP('TCO TO BE- SW'!J$2,MODULY_CBA!$B$3:$M$23,12,0),0),0)</f>
        <v>0</v>
      </c>
      <c r="K87" s="584">
        <f>IFERROR(IF(VLOOKUP(K$2,MODULY_CBA!$B$3:$N$23,13,0)&lt;='TCO TO BE- SW'!$D87,SUM('TCO TO BE- SW'!K$6:K$15)*VLOOKUP('TCO TO BE- SW'!K$2,MODULY_CBA!$B$3:$M$23,12,0),0),0)</f>
        <v>0</v>
      </c>
      <c r="L87" s="584">
        <f>IFERROR(IF(VLOOKUP(L$2,MODULY_CBA!$B$3:$N$23,13,0)&lt;='TCO TO BE- SW'!$D87,SUM('TCO TO BE- SW'!L$6:L$15)*VLOOKUP('TCO TO BE- SW'!L$2,MODULY_CBA!$B$3:$M$23,12,0),0),0)</f>
        <v>0</v>
      </c>
      <c r="M87" s="584">
        <f>IFERROR(IF(VLOOKUP(M$2,MODULY_CBA!$B$3:$N$23,13,0)&lt;='TCO TO BE- SW'!$D87,SUM('TCO TO BE- SW'!M$6:M$15)*VLOOKUP('TCO TO BE- SW'!M$2,MODULY_CBA!$B$3:$M$23,12,0),0),0)</f>
        <v>0</v>
      </c>
      <c r="N87" s="584">
        <f>IFERROR(IF(VLOOKUP(N$2,MODULY_CBA!$B$3:$N$23,13,0)&lt;='TCO TO BE- SW'!$D87,SUM('TCO TO BE- SW'!N$6:N$15)*VLOOKUP('TCO TO BE- SW'!N$2,MODULY_CBA!$B$3:$M$23,12,0),0),0)</f>
        <v>0</v>
      </c>
      <c r="O87" s="584">
        <f>IFERROR(IF(VLOOKUP(O$2,MODULY_CBA!$B$3:$N$23,13,0)&lt;='TCO TO BE- SW'!$D87,SUM('TCO TO BE- SW'!O$6:O$15)*VLOOKUP('TCO TO BE- SW'!O$2,MODULY_CBA!$B$3:$M$23,12,0),0),0)</f>
        <v>0</v>
      </c>
      <c r="P87" s="584">
        <f>IFERROR(IF(VLOOKUP(P$2,MODULY_CBA!$B$3:$N$23,13,0)&lt;='TCO TO BE- SW'!$D87,SUM('TCO TO BE- SW'!P$6:P$15)*VLOOKUP('TCO TO BE- SW'!P$2,MODULY_CBA!$B$3:$M$23,12,0),0),0)</f>
        <v>0</v>
      </c>
      <c r="Q87" s="584">
        <f>IFERROR(IF(VLOOKUP(Q$2,MODULY_CBA!$B$3:$N$23,13,0)&lt;='TCO TO BE- SW'!$D87,SUM('TCO TO BE- SW'!Q$6:Q$15)*VLOOKUP('TCO TO BE- SW'!Q$2,MODULY_CBA!$B$3:$M$23,12,0),0),0)</f>
        <v>0</v>
      </c>
      <c r="R87" s="584">
        <f>IFERROR(IF(VLOOKUP(R$2,MODULY_CBA!$B$3:$N$23,13,0)&lt;='TCO TO BE- SW'!$D87,SUM('TCO TO BE- SW'!R$6:R$15)*VLOOKUP('TCO TO BE- SW'!R$2,MODULY_CBA!$B$3:$M$23,12,0),0),0)</f>
        <v>0</v>
      </c>
      <c r="S87" s="584">
        <f>IFERROR(IF(VLOOKUP(S$2,MODULY_CBA!$B$3:$N$23,13,0)&lt;='TCO TO BE- SW'!$D87,SUM('TCO TO BE- SW'!S$6:S$15)*VLOOKUP('TCO TO BE- SW'!S$2,MODULY_CBA!$B$3:$M$23,12,0),0),0)</f>
        <v>0</v>
      </c>
      <c r="T87" s="584">
        <f>IFERROR(IF(VLOOKUP(T$2,MODULY_CBA!$B$3:$N$23,13,0)&lt;='TCO TO BE- SW'!$D87,SUM('TCO TO BE- SW'!T$6:T$15)*VLOOKUP('TCO TO BE- SW'!T$2,MODULY_CBA!$B$3:$M$23,12,0),0),0)</f>
        <v>0</v>
      </c>
      <c r="U87" s="584">
        <f>IFERROR(IF(VLOOKUP(U$2,MODULY_CBA!$B$3:$N$23,13,0)&lt;='TCO TO BE- SW'!$D87,SUM('TCO TO BE- SW'!U$6:U$15)*VLOOKUP('TCO TO BE- SW'!U$2,MODULY_CBA!$B$3:$M$23,12,0),0),0)</f>
        <v>0</v>
      </c>
      <c r="V87" s="584">
        <f>IFERROR(IF(VLOOKUP(V$2,MODULY_CBA!$B$3:$N$23,13,0)&lt;='TCO TO BE- SW'!$D87,SUM('TCO TO BE- SW'!V$6:V$15)*VLOOKUP('TCO TO BE- SW'!V$2,MODULY_CBA!$B$3:$M$23,12,0),0),0)</f>
        <v>0</v>
      </c>
      <c r="W87" s="584">
        <f>IFERROR(IF(VLOOKUP(W$2,MODULY_CBA!$B$3:$N$23,13,0)&lt;='TCO TO BE- SW'!$D87,SUM('TCO TO BE- SW'!W$6:W$15)*VLOOKUP('TCO TO BE- SW'!W$2,MODULY_CBA!$B$3:$M$23,12,0),0),0)</f>
        <v>0</v>
      </c>
      <c r="X87" s="584">
        <f>IFERROR(IF(VLOOKUP(X$2,MODULY_CBA!$B$3:$N$23,13,0)&lt;='TCO TO BE- SW'!$D87,SUM('TCO TO BE- SW'!X$6:X$15)*VLOOKUP('TCO TO BE- SW'!X$2,MODULY_CBA!$B$3:$M$23,12,0),0),0)</f>
        <v>0</v>
      </c>
      <c r="Y87" s="584">
        <f>IFERROR(IF(VLOOKUP(Y$2,MODULY_CBA!$B$3:$N$23,13,0)&lt;='TCO TO BE- SW'!$D87,SUM('TCO TO BE- SW'!Y$6:Y$15)*VLOOKUP('TCO TO BE- SW'!Y$2,MODULY_CBA!$B$3:$M$23,12,0),0),0)</f>
        <v>0</v>
      </c>
      <c r="Z87" s="584">
        <f>IFERROR(IF(VLOOKUP(Z$2,MODULY_CBA!$B$3:$N$23,13,0)&lt;='TCO TO BE- SW'!$D87,SUM('TCO TO BE- SW'!Z$6:Z$15)*VLOOKUP('TCO TO BE- SW'!Z$2,MODULY_CBA!$B$3:$M$23,12,0),0),0)</f>
        <v>0</v>
      </c>
    </row>
    <row r="88" spans="1:26" ht="15.75" outlineLevel="2" thickBot="1">
      <c r="A88" s="817"/>
      <c r="B88" s="818"/>
      <c r="C88" s="818"/>
      <c r="D88" s="65">
        <v>10</v>
      </c>
      <c r="E88" s="62">
        <f t="shared" si="12"/>
        <v>0</v>
      </c>
      <c r="F88" s="584">
        <f>IFERROR(IF(VLOOKUP(F$2,MODULY_CBA!$B$3:$N$23,13,0)&lt;='TCO TO BE- SW'!$D88,SUM('TCO TO BE- SW'!F$6:F$15)*VLOOKUP('TCO TO BE- SW'!F$2,MODULY_CBA!$B$3:$M$23,12,0),0),0)</f>
        <v>0</v>
      </c>
      <c r="G88" s="584">
        <f>IFERROR(IF(VLOOKUP(G$2,MODULY_CBA!$B$3:$N$23,13,0)&lt;='TCO TO BE- SW'!$D88,SUM('TCO TO BE- SW'!G$6:G$15)*VLOOKUP('TCO TO BE- SW'!G$2,MODULY_CBA!$B$3:$M$23,12,0),0),0)</f>
        <v>0</v>
      </c>
      <c r="H88" s="584">
        <f>IFERROR(IF(VLOOKUP(H$2,MODULY_CBA!$B$3:$N$23,13,0)&lt;='TCO TO BE- SW'!$D88,SUM('TCO TO BE- SW'!H$6:H$15)*VLOOKUP('TCO TO BE- SW'!H$2,MODULY_CBA!$B$3:$M$23,12,0),0),0)</f>
        <v>0</v>
      </c>
      <c r="I88" s="584">
        <f>IFERROR(IF(VLOOKUP(I$2,MODULY_CBA!$B$3:$N$23,13,0)&lt;='TCO TO BE- SW'!$D88,SUM('TCO TO BE- SW'!I$6:I$15)*VLOOKUP('TCO TO BE- SW'!I$2,MODULY_CBA!$B$3:$M$23,12,0),0),0)</f>
        <v>0</v>
      </c>
      <c r="J88" s="584">
        <f>IFERROR(IF(VLOOKUP(J$2,MODULY_CBA!$B$3:$N$23,13,0)&lt;='TCO TO BE- SW'!$D88,SUM('TCO TO BE- SW'!J$6:J$15)*VLOOKUP('TCO TO BE- SW'!J$2,MODULY_CBA!$B$3:$M$23,12,0),0),0)</f>
        <v>0</v>
      </c>
      <c r="K88" s="584">
        <f>IFERROR(IF(VLOOKUP(K$2,MODULY_CBA!$B$3:$N$23,13,0)&lt;='TCO TO BE- SW'!$D88,SUM('TCO TO BE- SW'!K$6:K$15)*VLOOKUP('TCO TO BE- SW'!K$2,MODULY_CBA!$B$3:$M$23,12,0),0),0)</f>
        <v>0</v>
      </c>
      <c r="L88" s="584">
        <f>IFERROR(IF(VLOOKUP(L$2,MODULY_CBA!$B$3:$N$23,13,0)&lt;='TCO TO BE- SW'!$D88,SUM('TCO TO BE- SW'!L$6:L$15)*VLOOKUP('TCO TO BE- SW'!L$2,MODULY_CBA!$B$3:$M$23,12,0),0),0)</f>
        <v>0</v>
      </c>
      <c r="M88" s="584">
        <f>IFERROR(IF(VLOOKUP(M$2,MODULY_CBA!$B$3:$N$23,13,0)&lt;='TCO TO BE- SW'!$D88,SUM('TCO TO BE- SW'!M$6:M$15)*VLOOKUP('TCO TO BE- SW'!M$2,MODULY_CBA!$B$3:$M$23,12,0),0),0)</f>
        <v>0</v>
      </c>
      <c r="N88" s="584">
        <f>IFERROR(IF(VLOOKUP(N$2,MODULY_CBA!$B$3:$N$23,13,0)&lt;='TCO TO BE- SW'!$D88,SUM('TCO TO BE- SW'!N$6:N$15)*VLOOKUP('TCO TO BE- SW'!N$2,MODULY_CBA!$B$3:$M$23,12,0),0),0)</f>
        <v>0</v>
      </c>
      <c r="O88" s="584">
        <f>IFERROR(IF(VLOOKUP(O$2,MODULY_CBA!$B$3:$N$23,13,0)&lt;='TCO TO BE- SW'!$D88,SUM('TCO TO BE- SW'!O$6:O$15)*VLOOKUP('TCO TO BE- SW'!O$2,MODULY_CBA!$B$3:$M$23,12,0),0),0)</f>
        <v>0</v>
      </c>
      <c r="P88" s="584">
        <f>IFERROR(IF(VLOOKUP(P$2,MODULY_CBA!$B$3:$N$23,13,0)&lt;='TCO TO BE- SW'!$D88,SUM('TCO TO BE- SW'!P$6:P$15)*VLOOKUP('TCO TO BE- SW'!P$2,MODULY_CBA!$B$3:$M$23,12,0),0),0)</f>
        <v>0</v>
      </c>
      <c r="Q88" s="584">
        <f>IFERROR(IF(VLOOKUP(Q$2,MODULY_CBA!$B$3:$N$23,13,0)&lt;='TCO TO BE- SW'!$D88,SUM('TCO TO BE- SW'!Q$6:Q$15)*VLOOKUP('TCO TO BE- SW'!Q$2,MODULY_CBA!$B$3:$M$23,12,0),0),0)</f>
        <v>0</v>
      </c>
      <c r="R88" s="584">
        <f>IFERROR(IF(VLOOKUP(R$2,MODULY_CBA!$B$3:$N$23,13,0)&lt;='TCO TO BE- SW'!$D88,SUM('TCO TO BE- SW'!R$6:R$15)*VLOOKUP('TCO TO BE- SW'!R$2,MODULY_CBA!$B$3:$M$23,12,0),0),0)</f>
        <v>0</v>
      </c>
      <c r="S88" s="584">
        <f>IFERROR(IF(VLOOKUP(S$2,MODULY_CBA!$B$3:$N$23,13,0)&lt;='TCO TO BE- SW'!$D88,SUM('TCO TO BE- SW'!S$6:S$15)*VLOOKUP('TCO TO BE- SW'!S$2,MODULY_CBA!$B$3:$M$23,12,0),0),0)</f>
        <v>0</v>
      </c>
      <c r="T88" s="584">
        <f>IFERROR(IF(VLOOKUP(T$2,MODULY_CBA!$B$3:$N$23,13,0)&lt;='TCO TO BE- SW'!$D88,SUM('TCO TO BE- SW'!T$6:T$15)*VLOOKUP('TCO TO BE- SW'!T$2,MODULY_CBA!$B$3:$M$23,12,0),0),0)</f>
        <v>0</v>
      </c>
      <c r="U88" s="584">
        <f>IFERROR(IF(VLOOKUP(U$2,MODULY_CBA!$B$3:$N$23,13,0)&lt;='TCO TO BE- SW'!$D88,SUM('TCO TO BE- SW'!U$6:U$15)*VLOOKUP('TCO TO BE- SW'!U$2,MODULY_CBA!$B$3:$M$23,12,0),0),0)</f>
        <v>0</v>
      </c>
      <c r="V88" s="584">
        <f>IFERROR(IF(VLOOKUP(V$2,MODULY_CBA!$B$3:$N$23,13,0)&lt;='TCO TO BE- SW'!$D88,SUM('TCO TO BE- SW'!V$6:V$15)*VLOOKUP('TCO TO BE- SW'!V$2,MODULY_CBA!$B$3:$M$23,12,0),0),0)</f>
        <v>0</v>
      </c>
      <c r="W88" s="584">
        <f>IFERROR(IF(VLOOKUP(W$2,MODULY_CBA!$B$3:$N$23,13,0)&lt;='TCO TO BE- SW'!$D88,SUM('TCO TO BE- SW'!W$6:W$15)*VLOOKUP('TCO TO BE- SW'!W$2,MODULY_CBA!$B$3:$M$23,12,0),0),0)</f>
        <v>0</v>
      </c>
      <c r="X88" s="584">
        <f>IFERROR(IF(VLOOKUP(X$2,MODULY_CBA!$B$3:$N$23,13,0)&lt;='TCO TO BE- SW'!$D88,SUM('TCO TO BE- SW'!X$6:X$15)*VLOOKUP('TCO TO BE- SW'!X$2,MODULY_CBA!$B$3:$M$23,12,0),0),0)</f>
        <v>0</v>
      </c>
      <c r="Y88" s="584">
        <f>IFERROR(IF(VLOOKUP(Y$2,MODULY_CBA!$B$3:$N$23,13,0)&lt;='TCO TO BE- SW'!$D88,SUM('TCO TO BE- SW'!Y$6:Y$15)*VLOOKUP('TCO TO BE- SW'!Y$2,MODULY_CBA!$B$3:$M$23,12,0),0),0)</f>
        <v>0</v>
      </c>
      <c r="Z88" s="584">
        <f>IFERROR(IF(VLOOKUP(Z$2,MODULY_CBA!$B$3:$N$23,13,0)&lt;='TCO TO BE- SW'!$D88,SUM('TCO TO BE- SW'!Z$6:Z$15)*VLOOKUP('TCO TO BE- SW'!Z$2,MODULY_CBA!$B$3:$M$23,12,0),0),0)</f>
        <v>0</v>
      </c>
    </row>
    <row r="89" spans="1:26" outlineLevel="2">
      <c r="A89" s="817" t="s">
        <v>1498</v>
      </c>
      <c r="B89" s="818" t="s">
        <v>1499</v>
      </c>
      <c r="C89" s="818">
        <v>718006</v>
      </c>
      <c r="D89" s="63">
        <v>1</v>
      </c>
      <c r="E89" s="61">
        <f t="shared" si="12"/>
        <v>0</v>
      </c>
      <c r="F89" s="585">
        <f>IFERROR(IF(VLOOKUP(F$2,MODULY_CBA!$B$3:$N$23,13,0)&lt;='TCO TO BE- SW'!$D89,SUM('TCO TO BE- SW'!F$6:F$15)*VLOOKUP('TCO TO BE- SW'!F$2,MODULY_CBA!$B$3:$L$23,11,0),0),0)</f>
        <v>0</v>
      </c>
      <c r="G89" s="585">
        <f>IFERROR(IF(VLOOKUP(G$2,MODULY_CBA!$B$3:$N$23,13,0)&lt;='TCO TO BE- SW'!$D89,SUM('TCO TO BE- SW'!G$6:G$15)*VLOOKUP('TCO TO BE- SW'!G$2,MODULY_CBA!$B$3:$L$23,11,0),0),0)</f>
        <v>0</v>
      </c>
      <c r="H89" s="585">
        <f>IFERROR(IF(VLOOKUP(H$2,MODULY_CBA!$B$3:$N$23,13,0)&lt;='TCO TO BE- SW'!$D89,SUM('TCO TO BE- SW'!H$6:H$15)*VLOOKUP('TCO TO BE- SW'!H$2,MODULY_CBA!$B$3:$L$23,11,0),0),0)</f>
        <v>0</v>
      </c>
      <c r="I89" s="585">
        <f>IFERROR(IF(VLOOKUP(I$2,MODULY_CBA!$B$3:$N$23,13,0)&lt;='TCO TO BE- SW'!$D89,SUM('TCO TO BE- SW'!I$6:I$15)*VLOOKUP('TCO TO BE- SW'!I$2,MODULY_CBA!$B$3:$L$23,11,0),0),0)</f>
        <v>0</v>
      </c>
      <c r="J89" s="585">
        <f>IFERROR(IF(VLOOKUP(J$2,MODULY_CBA!$B$3:$N$23,13,0)&lt;='TCO TO BE- SW'!$D89,SUM('TCO TO BE- SW'!J$6:J$15)*VLOOKUP('TCO TO BE- SW'!J$2,MODULY_CBA!$B$3:$L$23,11,0),0),0)</f>
        <v>0</v>
      </c>
      <c r="K89" s="585">
        <f>IFERROR(IF(VLOOKUP(K$2,MODULY_CBA!$B$3:$N$23,13,0)&lt;='TCO TO BE- SW'!$D89,SUM('TCO TO BE- SW'!K$6:K$15)*VLOOKUP('TCO TO BE- SW'!K$2,MODULY_CBA!$B$3:$L$23,11,0),0),0)</f>
        <v>0</v>
      </c>
      <c r="L89" s="585">
        <f>IFERROR(IF(VLOOKUP(L$2,MODULY_CBA!$B$3:$N$23,13,0)&lt;='TCO TO BE- SW'!$D89,SUM('TCO TO BE- SW'!L$6:L$15)*VLOOKUP('TCO TO BE- SW'!L$2,MODULY_CBA!$B$3:$L$23,11,0),0),0)</f>
        <v>0</v>
      </c>
      <c r="M89" s="585">
        <f>IFERROR(IF(VLOOKUP(M$2,MODULY_CBA!$B$3:$N$23,13,0)&lt;='TCO TO BE- SW'!$D89,SUM('TCO TO BE- SW'!M$6:M$15)*VLOOKUP('TCO TO BE- SW'!M$2,MODULY_CBA!$B$3:$L$23,11,0),0),0)</f>
        <v>0</v>
      </c>
      <c r="N89" s="585">
        <f>IFERROR(IF(VLOOKUP(N$2,MODULY_CBA!$B$3:$N$23,13,0)&lt;='TCO TO BE- SW'!$D89,SUM('TCO TO BE- SW'!N$6:N$15)*VLOOKUP('TCO TO BE- SW'!N$2,MODULY_CBA!$B$3:$L$23,11,0),0),0)</f>
        <v>0</v>
      </c>
      <c r="O89" s="585">
        <f>IFERROR(IF(VLOOKUP(O$2,MODULY_CBA!$B$3:$N$23,13,0)&lt;='TCO TO BE- SW'!$D89,SUM('TCO TO BE- SW'!O$6:O$15)*VLOOKUP('TCO TO BE- SW'!O$2,MODULY_CBA!$B$3:$L$23,11,0),0),0)</f>
        <v>0</v>
      </c>
      <c r="P89" s="585">
        <f>IFERROR(IF(VLOOKUP(P$2,MODULY_CBA!$B$3:$N$23,13,0)&lt;='TCO TO BE- SW'!$D89,SUM('TCO TO BE- SW'!P$6:P$15)*VLOOKUP('TCO TO BE- SW'!P$2,MODULY_CBA!$B$3:$L$23,11,0),0),0)</f>
        <v>0</v>
      </c>
      <c r="Q89" s="585">
        <f>IFERROR(IF(VLOOKUP(Q$2,MODULY_CBA!$B$3:$N$23,13,0)&lt;='TCO TO BE- SW'!$D89,SUM('TCO TO BE- SW'!Q$6:Q$15)*VLOOKUP('TCO TO BE- SW'!Q$2,MODULY_CBA!$B$3:$L$23,11,0),0),0)</f>
        <v>0</v>
      </c>
      <c r="R89" s="585">
        <f>IFERROR(IF(VLOOKUP(R$2,MODULY_CBA!$B$3:$N$23,13,0)&lt;='TCO TO BE- SW'!$D89,SUM('TCO TO BE- SW'!R$6:R$15)*VLOOKUP('TCO TO BE- SW'!R$2,MODULY_CBA!$B$3:$L$23,11,0),0),0)</f>
        <v>0</v>
      </c>
      <c r="S89" s="585">
        <f>IFERROR(IF(VLOOKUP(S$2,MODULY_CBA!$B$3:$N$23,13,0)&lt;='TCO TO BE- SW'!$D89,SUM('TCO TO BE- SW'!S$6:S$15)*VLOOKUP('TCO TO BE- SW'!S$2,MODULY_CBA!$B$3:$L$23,11,0),0),0)</f>
        <v>0</v>
      </c>
      <c r="T89" s="585">
        <f>IFERROR(IF(VLOOKUP(T$2,MODULY_CBA!$B$3:$N$23,13,0)&lt;='TCO TO BE- SW'!$D89,SUM('TCO TO BE- SW'!T$6:T$15)*VLOOKUP('TCO TO BE- SW'!T$2,MODULY_CBA!$B$3:$L$23,11,0),0),0)</f>
        <v>0</v>
      </c>
      <c r="U89" s="585">
        <f>IFERROR(IF(VLOOKUP(U$2,MODULY_CBA!$B$3:$N$23,13,0)&lt;='TCO TO BE- SW'!$D89,SUM('TCO TO BE- SW'!U$6:U$15)*VLOOKUP('TCO TO BE- SW'!U$2,MODULY_CBA!$B$3:$L$23,11,0),0),0)</f>
        <v>0</v>
      </c>
      <c r="V89" s="585">
        <f>IFERROR(IF(VLOOKUP(V$2,MODULY_CBA!$B$3:$N$23,13,0)&lt;='TCO TO BE- SW'!$D89,SUM('TCO TO BE- SW'!V$6:V$15)*VLOOKUP('TCO TO BE- SW'!V$2,MODULY_CBA!$B$3:$L$23,11,0),0),0)</f>
        <v>0</v>
      </c>
      <c r="W89" s="585">
        <f>IFERROR(IF(VLOOKUP(W$2,MODULY_CBA!$B$3:$N$23,13,0)&lt;='TCO TO BE- SW'!$D89,SUM('TCO TO BE- SW'!W$6:W$15)*VLOOKUP('TCO TO BE- SW'!W$2,MODULY_CBA!$B$3:$L$23,11,0),0),0)</f>
        <v>0</v>
      </c>
      <c r="X89" s="585">
        <f>IFERROR(IF(VLOOKUP(X$2,MODULY_CBA!$B$3:$N$23,13,0)&lt;='TCO TO BE- SW'!$D89,SUM('TCO TO BE- SW'!X$6:X$15)*VLOOKUP('TCO TO BE- SW'!X$2,MODULY_CBA!$B$3:$L$23,11,0),0),0)</f>
        <v>0</v>
      </c>
      <c r="Y89" s="585">
        <f>IFERROR(IF(VLOOKUP(Y$2,MODULY_CBA!$B$3:$N$23,13,0)&lt;='TCO TO BE- SW'!$D89,SUM('TCO TO BE- SW'!Y$6:Y$15)*VLOOKUP('TCO TO BE- SW'!Y$2,MODULY_CBA!$B$3:$L$23,11,0),0),0)</f>
        <v>0</v>
      </c>
      <c r="Z89" s="585">
        <f>IFERROR(IF(VLOOKUP(Z$2,MODULY_CBA!$B$3:$N$23,13,0)&lt;='TCO TO BE- SW'!$D89,SUM('TCO TO BE- SW'!Z$6:Z$15)*VLOOKUP('TCO TO BE- SW'!Z$2,MODULY_CBA!$B$3:$L$23,11,0),0),0)</f>
        <v>0</v>
      </c>
    </row>
    <row r="90" spans="1:26" outlineLevel="2">
      <c r="A90" s="817"/>
      <c r="B90" s="818"/>
      <c r="C90" s="818"/>
      <c r="D90" s="64">
        <v>2</v>
      </c>
      <c r="E90" s="61">
        <f t="shared" si="12"/>
        <v>0</v>
      </c>
      <c r="F90" s="584">
        <f>IFERROR(IF(VLOOKUP(F$2,MODULY_CBA!$B$3:$N$23,13,0)&lt;='TCO TO BE- SW'!$D90,SUM('TCO TO BE- SW'!F$6:F$15)*VLOOKUP('TCO TO BE- SW'!F$2,MODULY_CBA!$B$3:$L$23,11,0),0),0)</f>
        <v>0</v>
      </c>
      <c r="G90" s="584">
        <f>IFERROR(IF(VLOOKUP(G$2,MODULY_CBA!$B$3:$N$23,13,0)&lt;='TCO TO BE- SW'!$D90,SUM('TCO TO BE- SW'!G$6:G$15)*VLOOKUP('TCO TO BE- SW'!G$2,MODULY_CBA!$B$3:$L$23,11,0),0),0)</f>
        <v>0</v>
      </c>
      <c r="H90" s="584">
        <f>IFERROR(IF(VLOOKUP(H$2,MODULY_CBA!$B$3:$N$23,13,0)&lt;='TCO TO BE- SW'!$D90,SUM('TCO TO BE- SW'!H$6:H$15)*VLOOKUP('TCO TO BE- SW'!H$2,MODULY_CBA!$B$3:$L$23,11,0),0),0)</f>
        <v>0</v>
      </c>
      <c r="I90" s="584">
        <f>IFERROR(IF(VLOOKUP(I$2,MODULY_CBA!$B$3:$N$23,13,0)&lt;='TCO TO BE- SW'!$D90,SUM('TCO TO BE- SW'!I$6:I$15)*VLOOKUP('TCO TO BE- SW'!I$2,MODULY_CBA!$B$3:$L$23,11,0),0),0)</f>
        <v>0</v>
      </c>
      <c r="J90" s="584">
        <f>IFERROR(IF(VLOOKUP(J$2,MODULY_CBA!$B$3:$N$23,13,0)&lt;='TCO TO BE- SW'!$D90,SUM('TCO TO BE- SW'!J$6:J$15)*VLOOKUP('TCO TO BE- SW'!J$2,MODULY_CBA!$B$3:$L$23,11,0),0),0)</f>
        <v>0</v>
      </c>
      <c r="K90" s="584">
        <f>IFERROR(IF(VLOOKUP(K$2,MODULY_CBA!$B$3:$N$23,13,0)&lt;='TCO TO BE- SW'!$D90,SUM('TCO TO BE- SW'!K$6:K$15)*VLOOKUP('TCO TO BE- SW'!K$2,MODULY_CBA!$B$3:$L$23,11,0),0),0)</f>
        <v>0</v>
      </c>
      <c r="L90" s="584">
        <f>IFERROR(IF(VLOOKUP(L$2,MODULY_CBA!$B$3:$N$23,13,0)&lt;='TCO TO BE- SW'!$D90,SUM('TCO TO BE- SW'!L$6:L$15)*VLOOKUP('TCO TO BE- SW'!L$2,MODULY_CBA!$B$3:$L$23,11,0),0),0)</f>
        <v>0</v>
      </c>
      <c r="M90" s="584">
        <f>IFERROR(IF(VLOOKUP(M$2,MODULY_CBA!$B$3:$N$23,13,0)&lt;='TCO TO BE- SW'!$D90,SUM('TCO TO BE- SW'!M$6:M$15)*VLOOKUP('TCO TO BE- SW'!M$2,MODULY_CBA!$B$3:$L$23,11,0),0),0)</f>
        <v>0</v>
      </c>
      <c r="N90" s="584">
        <f>IFERROR(IF(VLOOKUP(N$2,MODULY_CBA!$B$3:$N$23,13,0)&lt;='TCO TO BE- SW'!$D90,SUM('TCO TO BE- SW'!N$6:N$15)*VLOOKUP('TCO TO BE- SW'!N$2,MODULY_CBA!$B$3:$L$23,11,0),0),0)</f>
        <v>0</v>
      </c>
      <c r="O90" s="584">
        <f>IFERROR(IF(VLOOKUP(O$2,MODULY_CBA!$B$3:$N$23,13,0)&lt;='TCO TO BE- SW'!$D90,SUM('TCO TO BE- SW'!O$6:O$15)*VLOOKUP('TCO TO BE- SW'!O$2,MODULY_CBA!$B$3:$L$23,11,0),0),0)</f>
        <v>0</v>
      </c>
      <c r="P90" s="584">
        <f>IFERROR(IF(VLOOKUP(P$2,MODULY_CBA!$B$3:$N$23,13,0)&lt;='TCO TO BE- SW'!$D90,SUM('TCO TO BE- SW'!P$6:P$15)*VLOOKUP('TCO TO BE- SW'!P$2,MODULY_CBA!$B$3:$L$23,11,0),0),0)</f>
        <v>0</v>
      </c>
      <c r="Q90" s="584">
        <f>IFERROR(IF(VLOOKUP(Q$2,MODULY_CBA!$B$3:$N$23,13,0)&lt;='TCO TO BE- SW'!$D90,SUM('TCO TO BE- SW'!Q$6:Q$15)*VLOOKUP('TCO TO BE- SW'!Q$2,MODULY_CBA!$B$3:$L$23,11,0),0),0)</f>
        <v>0</v>
      </c>
      <c r="R90" s="584">
        <f>IFERROR(IF(VLOOKUP(R$2,MODULY_CBA!$B$3:$N$23,13,0)&lt;='TCO TO BE- SW'!$D90,SUM('TCO TO BE- SW'!R$6:R$15)*VLOOKUP('TCO TO BE- SW'!R$2,MODULY_CBA!$B$3:$L$23,11,0),0),0)</f>
        <v>0</v>
      </c>
      <c r="S90" s="584">
        <f>IFERROR(IF(VLOOKUP(S$2,MODULY_CBA!$B$3:$N$23,13,0)&lt;='TCO TO BE- SW'!$D90,SUM('TCO TO BE- SW'!S$6:S$15)*VLOOKUP('TCO TO BE- SW'!S$2,MODULY_CBA!$B$3:$L$23,11,0),0),0)</f>
        <v>0</v>
      </c>
      <c r="T90" s="584">
        <f>IFERROR(IF(VLOOKUP(T$2,MODULY_CBA!$B$3:$N$23,13,0)&lt;='TCO TO BE- SW'!$D90,SUM('TCO TO BE- SW'!T$6:T$15)*VLOOKUP('TCO TO BE- SW'!T$2,MODULY_CBA!$B$3:$L$23,11,0),0),0)</f>
        <v>0</v>
      </c>
      <c r="U90" s="584">
        <f>IFERROR(IF(VLOOKUP(U$2,MODULY_CBA!$B$3:$N$23,13,0)&lt;='TCO TO BE- SW'!$D90,SUM('TCO TO BE- SW'!U$6:U$15)*VLOOKUP('TCO TO BE- SW'!U$2,MODULY_CBA!$B$3:$L$23,11,0),0),0)</f>
        <v>0</v>
      </c>
      <c r="V90" s="584">
        <f>IFERROR(IF(VLOOKUP(V$2,MODULY_CBA!$B$3:$N$23,13,0)&lt;='TCO TO BE- SW'!$D90,SUM('TCO TO BE- SW'!V$6:V$15)*VLOOKUP('TCO TO BE- SW'!V$2,MODULY_CBA!$B$3:$L$23,11,0),0),0)</f>
        <v>0</v>
      </c>
      <c r="W90" s="584">
        <f>IFERROR(IF(VLOOKUP(W$2,MODULY_CBA!$B$3:$N$23,13,0)&lt;='TCO TO BE- SW'!$D90,SUM('TCO TO BE- SW'!W$6:W$15)*VLOOKUP('TCO TO BE- SW'!W$2,MODULY_CBA!$B$3:$L$23,11,0),0),0)</f>
        <v>0</v>
      </c>
      <c r="X90" s="584">
        <f>IFERROR(IF(VLOOKUP(X$2,MODULY_CBA!$B$3:$N$23,13,0)&lt;='TCO TO BE- SW'!$D90,SUM('TCO TO BE- SW'!X$6:X$15)*VLOOKUP('TCO TO BE- SW'!X$2,MODULY_CBA!$B$3:$L$23,11,0),0),0)</f>
        <v>0</v>
      </c>
      <c r="Y90" s="584">
        <f>IFERROR(IF(VLOOKUP(Y$2,MODULY_CBA!$B$3:$N$23,13,0)&lt;='TCO TO BE- SW'!$D90,SUM('TCO TO BE- SW'!Y$6:Y$15)*VLOOKUP('TCO TO BE- SW'!Y$2,MODULY_CBA!$B$3:$L$23,11,0),0),0)</f>
        <v>0</v>
      </c>
      <c r="Z90" s="584">
        <f>IFERROR(IF(VLOOKUP(Z$2,MODULY_CBA!$B$3:$N$23,13,0)&lt;='TCO TO BE- SW'!$D90,SUM('TCO TO BE- SW'!Z$6:Z$15)*VLOOKUP('TCO TO BE- SW'!Z$2,MODULY_CBA!$B$3:$L$23,11,0),0),0)</f>
        <v>0</v>
      </c>
    </row>
    <row r="91" spans="1:26" outlineLevel="2">
      <c r="A91" s="817"/>
      <c r="B91" s="818"/>
      <c r="C91" s="818"/>
      <c r="D91" s="64">
        <v>3</v>
      </c>
      <c r="E91" s="61">
        <f t="shared" si="12"/>
        <v>0</v>
      </c>
      <c r="F91" s="584">
        <f>IFERROR(IF(VLOOKUP(F$2,MODULY_CBA!$B$3:$N$23,13,0)&lt;='TCO TO BE- SW'!$D91,SUM('TCO TO BE- SW'!F$6:F$15)*VLOOKUP('TCO TO BE- SW'!F$2,MODULY_CBA!$B$3:$L$23,11,0),0),0)</f>
        <v>0</v>
      </c>
      <c r="G91" s="584">
        <f>IFERROR(IF(VLOOKUP(G$2,MODULY_CBA!$B$3:$N$23,13,0)&lt;='TCO TO BE- SW'!$D91,SUM('TCO TO BE- SW'!G$6:G$15)*VLOOKUP('TCO TO BE- SW'!G$2,MODULY_CBA!$B$3:$L$23,11,0),0),0)</f>
        <v>0</v>
      </c>
      <c r="H91" s="584">
        <f>IFERROR(IF(VLOOKUP(H$2,MODULY_CBA!$B$3:$N$23,13,0)&lt;='TCO TO BE- SW'!$D91,SUM('TCO TO BE- SW'!H$6:H$15)*VLOOKUP('TCO TO BE- SW'!H$2,MODULY_CBA!$B$3:$L$23,11,0),0),0)</f>
        <v>0</v>
      </c>
      <c r="I91" s="584">
        <f>IFERROR(IF(VLOOKUP(I$2,MODULY_CBA!$B$3:$N$23,13,0)&lt;='TCO TO BE- SW'!$D91,SUM('TCO TO BE- SW'!I$6:I$15)*VLOOKUP('TCO TO BE- SW'!I$2,MODULY_CBA!$B$3:$L$23,11,0),0),0)</f>
        <v>0</v>
      </c>
      <c r="J91" s="584">
        <f>IFERROR(IF(VLOOKUP(J$2,MODULY_CBA!$B$3:$N$23,13,0)&lt;='TCO TO BE- SW'!$D91,SUM('TCO TO BE- SW'!J$6:J$15)*VLOOKUP('TCO TO BE- SW'!J$2,MODULY_CBA!$B$3:$L$23,11,0),0),0)</f>
        <v>0</v>
      </c>
      <c r="K91" s="584">
        <f>IFERROR(IF(VLOOKUP(K$2,MODULY_CBA!$B$3:$N$23,13,0)&lt;='TCO TO BE- SW'!$D91,SUM('TCO TO BE- SW'!K$6:K$15)*VLOOKUP('TCO TO BE- SW'!K$2,MODULY_CBA!$B$3:$L$23,11,0),0),0)</f>
        <v>0</v>
      </c>
      <c r="L91" s="584">
        <f>IFERROR(IF(VLOOKUP(L$2,MODULY_CBA!$B$3:$N$23,13,0)&lt;='TCO TO BE- SW'!$D91,SUM('TCO TO BE- SW'!L$6:L$15)*VLOOKUP('TCO TO BE- SW'!L$2,MODULY_CBA!$B$3:$L$23,11,0),0),0)</f>
        <v>0</v>
      </c>
      <c r="M91" s="584">
        <f>IFERROR(IF(VLOOKUP(M$2,MODULY_CBA!$B$3:$N$23,13,0)&lt;='TCO TO BE- SW'!$D91,SUM('TCO TO BE- SW'!M$6:M$15)*VLOOKUP('TCO TO BE- SW'!M$2,MODULY_CBA!$B$3:$L$23,11,0),0),0)</f>
        <v>0</v>
      </c>
      <c r="N91" s="584">
        <f>IFERROR(IF(VLOOKUP(N$2,MODULY_CBA!$B$3:$N$23,13,0)&lt;='TCO TO BE- SW'!$D91,SUM('TCO TO BE- SW'!N$6:N$15)*VLOOKUP('TCO TO BE- SW'!N$2,MODULY_CBA!$B$3:$L$23,11,0),0),0)</f>
        <v>0</v>
      </c>
      <c r="O91" s="584">
        <f>IFERROR(IF(VLOOKUP(O$2,MODULY_CBA!$B$3:$N$23,13,0)&lt;='TCO TO BE- SW'!$D91,SUM('TCO TO BE- SW'!O$6:O$15)*VLOOKUP('TCO TO BE- SW'!O$2,MODULY_CBA!$B$3:$L$23,11,0),0),0)</f>
        <v>0</v>
      </c>
      <c r="P91" s="584">
        <f>IFERROR(IF(VLOOKUP(P$2,MODULY_CBA!$B$3:$N$23,13,0)&lt;='TCO TO BE- SW'!$D91,SUM('TCO TO BE- SW'!P$6:P$15)*VLOOKUP('TCO TO BE- SW'!P$2,MODULY_CBA!$B$3:$L$23,11,0),0),0)</f>
        <v>0</v>
      </c>
      <c r="Q91" s="584">
        <f>IFERROR(IF(VLOOKUP(Q$2,MODULY_CBA!$B$3:$N$23,13,0)&lt;='TCO TO BE- SW'!$D91,SUM('TCO TO BE- SW'!Q$6:Q$15)*VLOOKUP('TCO TO BE- SW'!Q$2,MODULY_CBA!$B$3:$L$23,11,0),0),0)</f>
        <v>0</v>
      </c>
      <c r="R91" s="584">
        <f>IFERROR(IF(VLOOKUP(R$2,MODULY_CBA!$B$3:$N$23,13,0)&lt;='TCO TO BE- SW'!$D91,SUM('TCO TO BE- SW'!R$6:R$15)*VLOOKUP('TCO TO BE- SW'!R$2,MODULY_CBA!$B$3:$L$23,11,0),0),0)</f>
        <v>0</v>
      </c>
      <c r="S91" s="584">
        <f>IFERROR(IF(VLOOKUP(S$2,MODULY_CBA!$B$3:$N$23,13,0)&lt;='TCO TO BE- SW'!$D91,SUM('TCO TO BE- SW'!S$6:S$15)*VLOOKUP('TCO TO BE- SW'!S$2,MODULY_CBA!$B$3:$L$23,11,0),0),0)</f>
        <v>0</v>
      </c>
      <c r="T91" s="584">
        <f>IFERROR(IF(VLOOKUP(T$2,MODULY_CBA!$B$3:$N$23,13,0)&lt;='TCO TO BE- SW'!$D91,SUM('TCO TO BE- SW'!T$6:T$15)*VLOOKUP('TCO TO BE- SW'!T$2,MODULY_CBA!$B$3:$L$23,11,0),0),0)</f>
        <v>0</v>
      </c>
      <c r="U91" s="584">
        <f>IFERROR(IF(VLOOKUP(U$2,MODULY_CBA!$B$3:$N$23,13,0)&lt;='TCO TO BE- SW'!$D91,SUM('TCO TO BE- SW'!U$6:U$15)*VLOOKUP('TCO TO BE- SW'!U$2,MODULY_CBA!$B$3:$L$23,11,0),0),0)</f>
        <v>0</v>
      </c>
      <c r="V91" s="584">
        <f>IFERROR(IF(VLOOKUP(V$2,MODULY_CBA!$B$3:$N$23,13,0)&lt;='TCO TO BE- SW'!$D91,SUM('TCO TO BE- SW'!V$6:V$15)*VLOOKUP('TCO TO BE- SW'!V$2,MODULY_CBA!$B$3:$L$23,11,0),0),0)</f>
        <v>0</v>
      </c>
      <c r="W91" s="584">
        <f>IFERROR(IF(VLOOKUP(W$2,MODULY_CBA!$B$3:$N$23,13,0)&lt;='TCO TO BE- SW'!$D91,SUM('TCO TO BE- SW'!W$6:W$15)*VLOOKUP('TCO TO BE- SW'!W$2,MODULY_CBA!$B$3:$L$23,11,0),0),0)</f>
        <v>0</v>
      </c>
      <c r="X91" s="584">
        <f>IFERROR(IF(VLOOKUP(X$2,MODULY_CBA!$B$3:$N$23,13,0)&lt;='TCO TO BE- SW'!$D91,SUM('TCO TO BE- SW'!X$6:X$15)*VLOOKUP('TCO TO BE- SW'!X$2,MODULY_CBA!$B$3:$L$23,11,0),0),0)</f>
        <v>0</v>
      </c>
      <c r="Y91" s="584">
        <f>IFERROR(IF(VLOOKUP(Y$2,MODULY_CBA!$B$3:$N$23,13,0)&lt;='TCO TO BE- SW'!$D91,SUM('TCO TO BE- SW'!Y$6:Y$15)*VLOOKUP('TCO TO BE- SW'!Y$2,MODULY_CBA!$B$3:$L$23,11,0),0),0)</f>
        <v>0</v>
      </c>
      <c r="Z91" s="584">
        <f>IFERROR(IF(VLOOKUP(Z$2,MODULY_CBA!$B$3:$N$23,13,0)&lt;='TCO TO BE- SW'!$D91,SUM('TCO TO BE- SW'!Z$6:Z$15)*VLOOKUP('TCO TO BE- SW'!Z$2,MODULY_CBA!$B$3:$L$23,11,0),0),0)</f>
        <v>0</v>
      </c>
    </row>
    <row r="92" spans="1:26" outlineLevel="2">
      <c r="A92" s="817"/>
      <c r="B92" s="818"/>
      <c r="C92" s="818"/>
      <c r="D92" s="64">
        <v>4</v>
      </c>
      <c r="E92" s="61">
        <f t="shared" si="12"/>
        <v>0</v>
      </c>
      <c r="F92" s="584">
        <f>IFERROR(IF(VLOOKUP(F$2,MODULY_CBA!$B$3:$N$23,13,0)&lt;='TCO TO BE- SW'!$D92,SUM('TCO TO BE- SW'!F$6:F$15)*VLOOKUP('TCO TO BE- SW'!F$2,MODULY_CBA!$B$3:$L$23,11,0),0),0)</f>
        <v>0</v>
      </c>
      <c r="G92" s="584">
        <f>IFERROR(IF(VLOOKUP(G$2,MODULY_CBA!$B$3:$N$23,13,0)&lt;='TCO TO BE- SW'!$D92,SUM('TCO TO BE- SW'!G$6:G$15)*VLOOKUP('TCO TO BE- SW'!G$2,MODULY_CBA!$B$3:$L$23,11,0),0),0)</f>
        <v>0</v>
      </c>
      <c r="H92" s="584">
        <f>IFERROR(IF(VLOOKUP(H$2,MODULY_CBA!$B$3:$N$23,13,0)&lt;='TCO TO BE- SW'!$D92,SUM('TCO TO BE- SW'!H$6:H$15)*VLOOKUP('TCO TO BE- SW'!H$2,MODULY_CBA!$B$3:$L$23,11,0),0),0)</f>
        <v>0</v>
      </c>
      <c r="I92" s="584">
        <f>IFERROR(IF(VLOOKUP(I$2,MODULY_CBA!$B$3:$N$23,13,0)&lt;='TCO TO BE- SW'!$D92,SUM('TCO TO BE- SW'!I$6:I$15)*VLOOKUP('TCO TO BE- SW'!I$2,MODULY_CBA!$B$3:$L$23,11,0),0),0)</f>
        <v>0</v>
      </c>
      <c r="J92" s="584">
        <f>IFERROR(IF(VLOOKUP(J$2,MODULY_CBA!$B$3:$N$23,13,0)&lt;='TCO TO BE- SW'!$D92,SUM('TCO TO BE- SW'!J$6:J$15)*VLOOKUP('TCO TO BE- SW'!J$2,MODULY_CBA!$B$3:$L$23,11,0),0),0)</f>
        <v>0</v>
      </c>
      <c r="K92" s="584">
        <f>IFERROR(IF(VLOOKUP(K$2,MODULY_CBA!$B$3:$N$23,13,0)&lt;='TCO TO BE- SW'!$D92,SUM('TCO TO BE- SW'!K$6:K$15)*VLOOKUP('TCO TO BE- SW'!K$2,MODULY_CBA!$B$3:$L$23,11,0),0),0)</f>
        <v>0</v>
      </c>
      <c r="L92" s="584">
        <f>IFERROR(IF(VLOOKUP(L$2,MODULY_CBA!$B$3:$N$23,13,0)&lt;='TCO TO BE- SW'!$D92,SUM('TCO TO BE- SW'!L$6:L$15)*VLOOKUP('TCO TO BE- SW'!L$2,MODULY_CBA!$B$3:$L$23,11,0),0),0)</f>
        <v>0</v>
      </c>
      <c r="M92" s="584">
        <f>IFERROR(IF(VLOOKUP(M$2,MODULY_CBA!$B$3:$N$23,13,0)&lt;='TCO TO BE- SW'!$D92,SUM('TCO TO BE- SW'!M$6:M$15)*VLOOKUP('TCO TO BE- SW'!M$2,MODULY_CBA!$B$3:$L$23,11,0),0),0)</f>
        <v>0</v>
      </c>
      <c r="N92" s="584">
        <f>IFERROR(IF(VLOOKUP(N$2,MODULY_CBA!$B$3:$N$23,13,0)&lt;='TCO TO BE- SW'!$D92,SUM('TCO TO BE- SW'!N$6:N$15)*VLOOKUP('TCO TO BE- SW'!N$2,MODULY_CBA!$B$3:$L$23,11,0),0),0)</f>
        <v>0</v>
      </c>
      <c r="O92" s="584">
        <f>IFERROR(IF(VLOOKUP(O$2,MODULY_CBA!$B$3:$N$23,13,0)&lt;='TCO TO BE- SW'!$D92,SUM('TCO TO BE- SW'!O$6:O$15)*VLOOKUP('TCO TO BE- SW'!O$2,MODULY_CBA!$B$3:$L$23,11,0),0),0)</f>
        <v>0</v>
      </c>
      <c r="P92" s="584">
        <f>IFERROR(IF(VLOOKUP(P$2,MODULY_CBA!$B$3:$N$23,13,0)&lt;='TCO TO BE- SW'!$D92,SUM('TCO TO BE- SW'!P$6:P$15)*VLOOKUP('TCO TO BE- SW'!P$2,MODULY_CBA!$B$3:$L$23,11,0),0),0)</f>
        <v>0</v>
      </c>
      <c r="Q92" s="584">
        <f>IFERROR(IF(VLOOKUP(Q$2,MODULY_CBA!$B$3:$N$23,13,0)&lt;='TCO TO BE- SW'!$D92,SUM('TCO TO BE- SW'!Q$6:Q$15)*VLOOKUP('TCO TO BE- SW'!Q$2,MODULY_CBA!$B$3:$L$23,11,0),0),0)</f>
        <v>0</v>
      </c>
      <c r="R92" s="584">
        <f>IFERROR(IF(VLOOKUP(R$2,MODULY_CBA!$B$3:$N$23,13,0)&lt;='TCO TO BE- SW'!$D92,SUM('TCO TO BE- SW'!R$6:R$15)*VLOOKUP('TCO TO BE- SW'!R$2,MODULY_CBA!$B$3:$L$23,11,0),0),0)</f>
        <v>0</v>
      </c>
      <c r="S92" s="584">
        <f>IFERROR(IF(VLOOKUP(S$2,MODULY_CBA!$B$3:$N$23,13,0)&lt;='TCO TO BE- SW'!$D92,SUM('TCO TO BE- SW'!S$6:S$15)*VLOOKUP('TCO TO BE- SW'!S$2,MODULY_CBA!$B$3:$L$23,11,0),0),0)</f>
        <v>0</v>
      </c>
      <c r="T92" s="584">
        <f>IFERROR(IF(VLOOKUP(T$2,MODULY_CBA!$B$3:$N$23,13,0)&lt;='TCO TO BE- SW'!$D92,SUM('TCO TO BE- SW'!T$6:T$15)*VLOOKUP('TCO TO BE- SW'!T$2,MODULY_CBA!$B$3:$L$23,11,0),0),0)</f>
        <v>0</v>
      </c>
      <c r="U92" s="584">
        <f>IFERROR(IF(VLOOKUP(U$2,MODULY_CBA!$B$3:$N$23,13,0)&lt;='TCO TO BE- SW'!$D92,SUM('TCO TO BE- SW'!U$6:U$15)*VLOOKUP('TCO TO BE- SW'!U$2,MODULY_CBA!$B$3:$L$23,11,0),0),0)</f>
        <v>0</v>
      </c>
      <c r="V92" s="584">
        <f>IFERROR(IF(VLOOKUP(V$2,MODULY_CBA!$B$3:$N$23,13,0)&lt;='TCO TO BE- SW'!$D92,SUM('TCO TO BE- SW'!V$6:V$15)*VLOOKUP('TCO TO BE- SW'!V$2,MODULY_CBA!$B$3:$L$23,11,0),0),0)</f>
        <v>0</v>
      </c>
      <c r="W92" s="584">
        <f>IFERROR(IF(VLOOKUP(W$2,MODULY_CBA!$B$3:$N$23,13,0)&lt;='TCO TO BE- SW'!$D92,SUM('TCO TO BE- SW'!W$6:W$15)*VLOOKUP('TCO TO BE- SW'!W$2,MODULY_CBA!$B$3:$L$23,11,0),0),0)</f>
        <v>0</v>
      </c>
      <c r="X92" s="584">
        <f>IFERROR(IF(VLOOKUP(X$2,MODULY_CBA!$B$3:$N$23,13,0)&lt;='TCO TO BE- SW'!$D92,SUM('TCO TO BE- SW'!X$6:X$15)*VLOOKUP('TCO TO BE- SW'!X$2,MODULY_CBA!$B$3:$L$23,11,0),0),0)</f>
        <v>0</v>
      </c>
      <c r="Y92" s="584">
        <f>IFERROR(IF(VLOOKUP(Y$2,MODULY_CBA!$B$3:$N$23,13,0)&lt;='TCO TO BE- SW'!$D92,SUM('TCO TO BE- SW'!Y$6:Y$15)*VLOOKUP('TCO TO BE- SW'!Y$2,MODULY_CBA!$B$3:$L$23,11,0),0),0)</f>
        <v>0</v>
      </c>
      <c r="Z92" s="584">
        <f>IFERROR(IF(VLOOKUP(Z$2,MODULY_CBA!$B$3:$N$23,13,0)&lt;='TCO TO BE- SW'!$D92,SUM('TCO TO BE- SW'!Z$6:Z$15)*VLOOKUP('TCO TO BE- SW'!Z$2,MODULY_CBA!$B$3:$L$23,11,0),0),0)</f>
        <v>0</v>
      </c>
    </row>
    <row r="93" spans="1:26" outlineLevel="2">
      <c r="A93" s="817"/>
      <c r="B93" s="818"/>
      <c r="C93" s="818"/>
      <c r="D93" s="64">
        <v>5</v>
      </c>
      <c r="E93" s="61">
        <f t="shared" si="12"/>
        <v>0</v>
      </c>
      <c r="F93" s="584">
        <f>IFERROR(IF(VLOOKUP(F$2,MODULY_CBA!$B$3:$N$23,13,0)&lt;='TCO TO BE- SW'!$D93,SUM('TCO TO BE- SW'!F$6:F$15)*VLOOKUP('TCO TO BE- SW'!F$2,MODULY_CBA!$B$3:$L$23,11,0),0),0)</f>
        <v>0</v>
      </c>
      <c r="G93" s="584">
        <f>IFERROR(IF(VLOOKUP(G$2,MODULY_CBA!$B$3:$N$23,13,0)&lt;='TCO TO BE- SW'!$D93,SUM('TCO TO BE- SW'!G$6:G$15)*VLOOKUP('TCO TO BE- SW'!G$2,MODULY_CBA!$B$3:$L$23,11,0),0),0)</f>
        <v>0</v>
      </c>
      <c r="H93" s="584">
        <f>IFERROR(IF(VLOOKUP(H$2,MODULY_CBA!$B$3:$N$23,13,0)&lt;='TCO TO BE- SW'!$D93,SUM('TCO TO BE- SW'!H$6:H$15)*VLOOKUP('TCO TO BE- SW'!H$2,MODULY_CBA!$B$3:$L$23,11,0),0),0)</f>
        <v>0</v>
      </c>
      <c r="I93" s="584">
        <f>IFERROR(IF(VLOOKUP(I$2,MODULY_CBA!$B$3:$N$23,13,0)&lt;='TCO TO BE- SW'!$D93,SUM('TCO TO BE- SW'!I$6:I$15)*VLOOKUP('TCO TO BE- SW'!I$2,MODULY_CBA!$B$3:$L$23,11,0),0),0)</f>
        <v>0</v>
      </c>
      <c r="J93" s="584">
        <f>IFERROR(IF(VLOOKUP(J$2,MODULY_CBA!$B$3:$N$23,13,0)&lt;='TCO TO BE- SW'!$D93,SUM('TCO TO BE- SW'!J$6:J$15)*VLOOKUP('TCO TO BE- SW'!J$2,MODULY_CBA!$B$3:$L$23,11,0),0),0)</f>
        <v>0</v>
      </c>
      <c r="K93" s="584">
        <f>IFERROR(IF(VLOOKUP(K$2,MODULY_CBA!$B$3:$N$23,13,0)&lt;='TCO TO BE- SW'!$D93,SUM('TCO TO BE- SW'!K$6:K$15)*VLOOKUP('TCO TO BE- SW'!K$2,MODULY_CBA!$B$3:$L$23,11,0),0),0)</f>
        <v>0</v>
      </c>
      <c r="L93" s="584">
        <f>IFERROR(IF(VLOOKUP(L$2,MODULY_CBA!$B$3:$N$23,13,0)&lt;='TCO TO BE- SW'!$D93,SUM('TCO TO BE- SW'!L$6:L$15)*VLOOKUP('TCO TO BE- SW'!L$2,MODULY_CBA!$B$3:$L$23,11,0),0),0)</f>
        <v>0</v>
      </c>
      <c r="M93" s="584">
        <f>IFERROR(IF(VLOOKUP(M$2,MODULY_CBA!$B$3:$N$23,13,0)&lt;='TCO TO BE- SW'!$D93,SUM('TCO TO BE- SW'!M$6:M$15)*VLOOKUP('TCO TO BE- SW'!M$2,MODULY_CBA!$B$3:$L$23,11,0),0),0)</f>
        <v>0</v>
      </c>
      <c r="N93" s="584">
        <f>IFERROR(IF(VLOOKUP(N$2,MODULY_CBA!$B$3:$N$23,13,0)&lt;='TCO TO BE- SW'!$D93,SUM('TCO TO BE- SW'!N$6:N$15)*VLOOKUP('TCO TO BE- SW'!N$2,MODULY_CBA!$B$3:$L$23,11,0),0),0)</f>
        <v>0</v>
      </c>
      <c r="O93" s="584">
        <f>IFERROR(IF(VLOOKUP(O$2,MODULY_CBA!$B$3:$N$23,13,0)&lt;='TCO TO BE- SW'!$D93,SUM('TCO TO BE- SW'!O$6:O$15)*VLOOKUP('TCO TO BE- SW'!O$2,MODULY_CBA!$B$3:$L$23,11,0),0),0)</f>
        <v>0</v>
      </c>
      <c r="P93" s="584">
        <f>IFERROR(IF(VLOOKUP(P$2,MODULY_CBA!$B$3:$N$23,13,0)&lt;='TCO TO BE- SW'!$D93,SUM('TCO TO BE- SW'!P$6:P$15)*VLOOKUP('TCO TO BE- SW'!P$2,MODULY_CBA!$B$3:$L$23,11,0),0),0)</f>
        <v>0</v>
      </c>
      <c r="Q93" s="584">
        <f>IFERROR(IF(VLOOKUP(Q$2,MODULY_CBA!$B$3:$N$23,13,0)&lt;='TCO TO BE- SW'!$D93,SUM('TCO TO BE- SW'!Q$6:Q$15)*VLOOKUP('TCO TO BE- SW'!Q$2,MODULY_CBA!$B$3:$L$23,11,0),0),0)</f>
        <v>0</v>
      </c>
      <c r="R93" s="584">
        <f>IFERROR(IF(VLOOKUP(R$2,MODULY_CBA!$B$3:$N$23,13,0)&lt;='TCO TO BE- SW'!$D93,SUM('TCO TO BE- SW'!R$6:R$15)*VLOOKUP('TCO TO BE- SW'!R$2,MODULY_CBA!$B$3:$L$23,11,0),0),0)</f>
        <v>0</v>
      </c>
      <c r="S93" s="584">
        <f>IFERROR(IF(VLOOKUP(S$2,MODULY_CBA!$B$3:$N$23,13,0)&lt;='TCO TO BE- SW'!$D93,SUM('TCO TO BE- SW'!S$6:S$15)*VLOOKUP('TCO TO BE- SW'!S$2,MODULY_CBA!$B$3:$L$23,11,0),0),0)</f>
        <v>0</v>
      </c>
      <c r="T93" s="584">
        <f>IFERROR(IF(VLOOKUP(T$2,MODULY_CBA!$B$3:$N$23,13,0)&lt;='TCO TO BE- SW'!$D93,SUM('TCO TO BE- SW'!T$6:T$15)*VLOOKUP('TCO TO BE- SW'!T$2,MODULY_CBA!$B$3:$L$23,11,0),0),0)</f>
        <v>0</v>
      </c>
      <c r="U93" s="584">
        <f>IFERROR(IF(VLOOKUP(U$2,MODULY_CBA!$B$3:$N$23,13,0)&lt;='TCO TO BE- SW'!$D93,SUM('TCO TO BE- SW'!U$6:U$15)*VLOOKUP('TCO TO BE- SW'!U$2,MODULY_CBA!$B$3:$L$23,11,0),0),0)</f>
        <v>0</v>
      </c>
      <c r="V93" s="584">
        <f>IFERROR(IF(VLOOKUP(V$2,MODULY_CBA!$B$3:$N$23,13,0)&lt;='TCO TO BE- SW'!$D93,SUM('TCO TO BE- SW'!V$6:V$15)*VLOOKUP('TCO TO BE- SW'!V$2,MODULY_CBA!$B$3:$L$23,11,0),0),0)</f>
        <v>0</v>
      </c>
      <c r="W93" s="584">
        <f>IFERROR(IF(VLOOKUP(W$2,MODULY_CBA!$B$3:$N$23,13,0)&lt;='TCO TO BE- SW'!$D93,SUM('TCO TO BE- SW'!W$6:W$15)*VLOOKUP('TCO TO BE- SW'!W$2,MODULY_CBA!$B$3:$L$23,11,0),0),0)</f>
        <v>0</v>
      </c>
      <c r="X93" s="584">
        <f>IFERROR(IF(VLOOKUP(X$2,MODULY_CBA!$B$3:$N$23,13,0)&lt;='TCO TO BE- SW'!$D93,SUM('TCO TO BE- SW'!X$6:X$15)*VLOOKUP('TCO TO BE- SW'!X$2,MODULY_CBA!$B$3:$L$23,11,0),0),0)</f>
        <v>0</v>
      </c>
      <c r="Y93" s="584">
        <f>IFERROR(IF(VLOOKUP(Y$2,MODULY_CBA!$B$3:$N$23,13,0)&lt;='TCO TO BE- SW'!$D93,SUM('TCO TO BE- SW'!Y$6:Y$15)*VLOOKUP('TCO TO BE- SW'!Y$2,MODULY_CBA!$B$3:$L$23,11,0),0),0)</f>
        <v>0</v>
      </c>
      <c r="Z93" s="584">
        <f>IFERROR(IF(VLOOKUP(Z$2,MODULY_CBA!$B$3:$N$23,13,0)&lt;='TCO TO BE- SW'!$D93,SUM('TCO TO BE- SW'!Z$6:Z$15)*VLOOKUP('TCO TO BE- SW'!Z$2,MODULY_CBA!$B$3:$L$23,11,0),0),0)</f>
        <v>0</v>
      </c>
    </row>
    <row r="94" spans="1:26" outlineLevel="2">
      <c r="A94" s="817"/>
      <c r="B94" s="818"/>
      <c r="C94" s="818"/>
      <c r="D94" s="64">
        <v>6</v>
      </c>
      <c r="E94" s="61">
        <f t="shared" si="12"/>
        <v>0</v>
      </c>
      <c r="F94" s="584">
        <f>IFERROR(IF(VLOOKUP(F$2,MODULY_CBA!$B$3:$N$23,13,0)&lt;='TCO TO BE- SW'!$D94,SUM('TCO TO BE- SW'!F$6:F$15)*VLOOKUP('TCO TO BE- SW'!F$2,MODULY_CBA!$B$3:$L$23,11,0),0),0)</f>
        <v>0</v>
      </c>
      <c r="G94" s="584">
        <f>IFERROR(IF(VLOOKUP(G$2,MODULY_CBA!$B$3:$N$23,13,0)&lt;='TCO TO BE- SW'!$D94,SUM('TCO TO BE- SW'!G$6:G$15)*VLOOKUP('TCO TO BE- SW'!G$2,MODULY_CBA!$B$3:$L$23,11,0),0),0)</f>
        <v>0</v>
      </c>
      <c r="H94" s="584">
        <f>IFERROR(IF(VLOOKUP(H$2,MODULY_CBA!$B$3:$N$23,13,0)&lt;='TCO TO BE- SW'!$D94,SUM('TCO TO BE- SW'!H$6:H$15)*VLOOKUP('TCO TO BE- SW'!H$2,MODULY_CBA!$B$3:$L$23,11,0),0),0)</f>
        <v>0</v>
      </c>
      <c r="I94" s="584">
        <f>IFERROR(IF(VLOOKUP(I$2,MODULY_CBA!$B$3:$N$23,13,0)&lt;='TCO TO BE- SW'!$D94,SUM('TCO TO BE- SW'!I$6:I$15)*VLOOKUP('TCO TO BE- SW'!I$2,MODULY_CBA!$B$3:$L$23,11,0),0),0)</f>
        <v>0</v>
      </c>
      <c r="J94" s="584">
        <f>IFERROR(IF(VLOOKUP(J$2,MODULY_CBA!$B$3:$N$23,13,0)&lt;='TCO TO BE- SW'!$D94,SUM('TCO TO BE- SW'!J$6:J$15)*VLOOKUP('TCO TO BE- SW'!J$2,MODULY_CBA!$B$3:$L$23,11,0),0),0)</f>
        <v>0</v>
      </c>
      <c r="K94" s="584">
        <f>IFERROR(IF(VLOOKUP(K$2,MODULY_CBA!$B$3:$N$23,13,0)&lt;='TCO TO BE- SW'!$D94,SUM('TCO TO BE- SW'!K$6:K$15)*VLOOKUP('TCO TO BE- SW'!K$2,MODULY_CBA!$B$3:$L$23,11,0),0),0)</f>
        <v>0</v>
      </c>
      <c r="L94" s="584">
        <f>IFERROR(IF(VLOOKUP(L$2,MODULY_CBA!$B$3:$N$23,13,0)&lt;='TCO TO BE- SW'!$D94,SUM('TCO TO BE- SW'!L$6:L$15)*VLOOKUP('TCO TO BE- SW'!L$2,MODULY_CBA!$B$3:$L$23,11,0),0),0)</f>
        <v>0</v>
      </c>
      <c r="M94" s="584">
        <f>IFERROR(IF(VLOOKUP(M$2,MODULY_CBA!$B$3:$N$23,13,0)&lt;='TCO TO BE- SW'!$D94,SUM('TCO TO BE- SW'!M$6:M$15)*VLOOKUP('TCO TO BE- SW'!M$2,MODULY_CBA!$B$3:$L$23,11,0),0),0)</f>
        <v>0</v>
      </c>
      <c r="N94" s="584">
        <f>IFERROR(IF(VLOOKUP(N$2,MODULY_CBA!$B$3:$N$23,13,0)&lt;='TCO TO BE- SW'!$D94,SUM('TCO TO BE- SW'!N$6:N$15)*VLOOKUP('TCO TO BE- SW'!N$2,MODULY_CBA!$B$3:$L$23,11,0),0),0)</f>
        <v>0</v>
      </c>
      <c r="O94" s="584">
        <f>IFERROR(IF(VLOOKUP(O$2,MODULY_CBA!$B$3:$N$23,13,0)&lt;='TCO TO BE- SW'!$D94,SUM('TCO TO BE- SW'!O$6:O$15)*VLOOKUP('TCO TO BE- SW'!O$2,MODULY_CBA!$B$3:$L$23,11,0),0),0)</f>
        <v>0</v>
      </c>
      <c r="P94" s="584">
        <f>IFERROR(IF(VLOOKUP(P$2,MODULY_CBA!$B$3:$N$23,13,0)&lt;='TCO TO BE- SW'!$D94,SUM('TCO TO BE- SW'!P$6:P$15)*VLOOKUP('TCO TO BE- SW'!P$2,MODULY_CBA!$B$3:$L$23,11,0),0),0)</f>
        <v>0</v>
      </c>
      <c r="Q94" s="584">
        <f>IFERROR(IF(VLOOKUP(Q$2,MODULY_CBA!$B$3:$N$23,13,0)&lt;='TCO TO BE- SW'!$D94,SUM('TCO TO BE- SW'!Q$6:Q$15)*VLOOKUP('TCO TO BE- SW'!Q$2,MODULY_CBA!$B$3:$L$23,11,0),0),0)</f>
        <v>0</v>
      </c>
      <c r="R94" s="584">
        <f>IFERROR(IF(VLOOKUP(R$2,MODULY_CBA!$B$3:$N$23,13,0)&lt;='TCO TO BE- SW'!$D94,SUM('TCO TO BE- SW'!R$6:R$15)*VLOOKUP('TCO TO BE- SW'!R$2,MODULY_CBA!$B$3:$L$23,11,0),0),0)</f>
        <v>0</v>
      </c>
      <c r="S94" s="584">
        <f>IFERROR(IF(VLOOKUP(S$2,MODULY_CBA!$B$3:$N$23,13,0)&lt;='TCO TO BE- SW'!$D94,SUM('TCO TO BE- SW'!S$6:S$15)*VLOOKUP('TCO TO BE- SW'!S$2,MODULY_CBA!$B$3:$L$23,11,0),0),0)</f>
        <v>0</v>
      </c>
      <c r="T94" s="584">
        <f>IFERROR(IF(VLOOKUP(T$2,MODULY_CBA!$B$3:$N$23,13,0)&lt;='TCO TO BE- SW'!$D94,SUM('TCO TO BE- SW'!T$6:T$15)*VLOOKUP('TCO TO BE- SW'!T$2,MODULY_CBA!$B$3:$L$23,11,0),0),0)</f>
        <v>0</v>
      </c>
      <c r="U94" s="584">
        <f>IFERROR(IF(VLOOKUP(U$2,MODULY_CBA!$B$3:$N$23,13,0)&lt;='TCO TO BE- SW'!$D94,SUM('TCO TO BE- SW'!U$6:U$15)*VLOOKUP('TCO TO BE- SW'!U$2,MODULY_CBA!$B$3:$L$23,11,0),0),0)</f>
        <v>0</v>
      </c>
      <c r="V94" s="584">
        <f>IFERROR(IF(VLOOKUP(V$2,MODULY_CBA!$B$3:$N$23,13,0)&lt;='TCO TO BE- SW'!$D94,SUM('TCO TO BE- SW'!V$6:V$15)*VLOOKUP('TCO TO BE- SW'!V$2,MODULY_CBA!$B$3:$L$23,11,0),0),0)</f>
        <v>0</v>
      </c>
      <c r="W94" s="584">
        <f>IFERROR(IF(VLOOKUP(W$2,MODULY_CBA!$B$3:$N$23,13,0)&lt;='TCO TO BE- SW'!$D94,SUM('TCO TO BE- SW'!W$6:W$15)*VLOOKUP('TCO TO BE- SW'!W$2,MODULY_CBA!$B$3:$L$23,11,0),0),0)</f>
        <v>0</v>
      </c>
      <c r="X94" s="584">
        <f>IFERROR(IF(VLOOKUP(X$2,MODULY_CBA!$B$3:$N$23,13,0)&lt;='TCO TO BE- SW'!$D94,SUM('TCO TO BE- SW'!X$6:X$15)*VLOOKUP('TCO TO BE- SW'!X$2,MODULY_CBA!$B$3:$L$23,11,0),0),0)</f>
        <v>0</v>
      </c>
      <c r="Y94" s="584">
        <f>IFERROR(IF(VLOOKUP(Y$2,MODULY_CBA!$B$3:$N$23,13,0)&lt;='TCO TO BE- SW'!$D94,SUM('TCO TO BE- SW'!Y$6:Y$15)*VLOOKUP('TCO TO BE- SW'!Y$2,MODULY_CBA!$B$3:$L$23,11,0),0),0)</f>
        <v>0</v>
      </c>
      <c r="Z94" s="584">
        <f>IFERROR(IF(VLOOKUP(Z$2,MODULY_CBA!$B$3:$N$23,13,0)&lt;='TCO TO BE- SW'!$D94,SUM('TCO TO BE- SW'!Z$6:Z$15)*VLOOKUP('TCO TO BE- SW'!Z$2,MODULY_CBA!$B$3:$L$23,11,0),0),0)</f>
        <v>0</v>
      </c>
    </row>
    <row r="95" spans="1:26" outlineLevel="2">
      <c r="A95" s="817"/>
      <c r="B95" s="818"/>
      <c r="C95" s="818"/>
      <c r="D95" s="64">
        <v>7</v>
      </c>
      <c r="E95" s="61">
        <f t="shared" si="12"/>
        <v>0</v>
      </c>
      <c r="F95" s="584">
        <f>IFERROR(IF(VLOOKUP(F$2,MODULY_CBA!$B$3:$N$23,13,0)&lt;='TCO TO BE- SW'!$D95,SUM('TCO TO BE- SW'!F$6:F$15)*VLOOKUP('TCO TO BE- SW'!F$2,MODULY_CBA!$B$3:$L$23,11,0),0),0)</f>
        <v>0</v>
      </c>
      <c r="G95" s="584">
        <f>IFERROR(IF(VLOOKUP(G$2,MODULY_CBA!$B$3:$N$23,13,0)&lt;='TCO TO BE- SW'!$D95,SUM('TCO TO BE- SW'!G$6:G$15)*VLOOKUP('TCO TO BE- SW'!G$2,MODULY_CBA!$B$3:$L$23,11,0),0),0)</f>
        <v>0</v>
      </c>
      <c r="H95" s="584">
        <f>IFERROR(IF(VLOOKUP(H$2,MODULY_CBA!$B$3:$N$23,13,0)&lt;='TCO TO BE- SW'!$D95,SUM('TCO TO BE- SW'!H$6:H$15)*VLOOKUP('TCO TO BE- SW'!H$2,MODULY_CBA!$B$3:$L$23,11,0),0),0)</f>
        <v>0</v>
      </c>
      <c r="I95" s="584">
        <f>IFERROR(IF(VLOOKUP(I$2,MODULY_CBA!$B$3:$N$23,13,0)&lt;='TCO TO BE- SW'!$D95,SUM('TCO TO BE- SW'!I$6:I$15)*VLOOKUP('TCO TO BE- SW'!I$2,MODULY_CBA!$B$3:$L$23,11,0),0),0)</f>
        <v>0</v>
      </c>
      <c r="J95" s="584">
        <f>IFERROR(IF(VLOOKUP(J$2,MODULY_CBA!$B$3:$N$23,13,0)&lt;='TCO TO BE- SW'!$D95,SUM('TCO TO BE- SW'!J$6:J$15)*VLOOKUP('TCO TO BE- SW'!J$2,MODULY_CBA!$B$3:$L$23,11,0),0),0)</f>
        <v>0</v>
      </c>
      <c r="K95" s="584">
        <f>IFERROR(IF(VLOOKUP(K$2,MODULY_CBA!$B$3:$N$23,13,0)&lt;='TCO TO BE- SW'!$D95,SUM('TCO TO BE- SW'!K$6:K$15)*VLOOKUP('TCO TO BE- SW'!K$2,MODULY_CBA!$B$3:$L$23,11,0),0),0)</f>
        <v>0</v>
      </c>
      <c r="L95" s="584">
        <f>IFERROR(IF(VLOOKUP(L$2,MODULY_CBA!$B$3:$N$23,13,0)&lt;='TCO TO BE- SW'!$D95,SUM('TCO TO BE- SW'!L$6:L$15)*VLOOKUP('TCO TO BE- SW'!L$2,MODULY_CBA!$B$3:$L$23,11,0),0),0)</f>
        <v>0</v>
      </c>
      <c r="M95" s="584">
        <f>IFERROR(IF(VLOOKUP(M$2,MODULY_CBA!$B$3:$N$23,13,0)&lt;='TCO TO BE- SW'!$D95,SUM('TCO TO BE- SW'!M$6:M$15)*VLOOKUP('TCO TO BE- SW'!M$2,MODULY_CBA!$B$3:$L$23,11,0),0),0)</f>
        <v>0</v>
      </c>
      <c r="N95" s="584">
        <f>IFERROR(IF(VLOOKUP(N$2,MODULY_CBA!$B$3:$N$23,13,0)&lt;='TCO TO BE- SW'!$D95,SUM('TCO TO BE- SW'!N$6:N$15)*VLOOKUP('TCO TO BE- SW'!N$2,MODULY_CBA!$B$3:$L$23,11,0),0),0)</f>
        <v>0</v>
      </c>
      <c r="O95" s="584">
        <f>IFERROR(IF(VLOOKUP(O$2,MODULY_CBA!$B$3:$N$23,13,0)&lt;='TCO TO BE- SW'!$D95,SUM('TCO TO BE- SW'!O$6:O$15)*VLOOKUP('TCO TO BE- SW'!O$2,MODULY_CBA!$B$3:$L$23,11,0),0),0)</f>
        <v>0</v>
      </c>
      <c r="P95" s="584">
        <f>IFERROR(IF(VLOOKUP(P$2,MODULY_CBA!$B$3:$N$23,13,0)&lt;='TCO TO BE- SW'!$D95,SUM('TCO TO BE- SW'!P$6:P$15)*VLOOKUP('TCO TO BE- SW'!P$2,MODULY_CBA!$B$3:$L$23,11,0),0),0)</f>
        <v>0</v>
      </c>
      <c r="Q95" s="584">
        <f>IFERROR(IF(VLOOKUP(Q$2,MODULY_CBA!$B$3:$N$23,13,0)&lt;='TCO TO BE- SW'!$D95,SUM('TCO TO BE- SW'!Q$6:Q$15)*VLOOKUP('TCO TO BE- SW'!Q$2,MODULY_CBA!$B$3:$L$23,11,0),0),0)</f>
        <v>0</v>
      </c>
      <c r="R95" s="584">
        <f>IFERROR(IF(VLOOKUP(R$2,MODULY_CBA!$B$3:$N$23,13,0)&lt;='TCO TO BE- SW'!$D95,SUM('TCO TO BE- SW'!R$6:R$15)*VLOOKUP('TCO TO BE- SW'!R$2,MODULY_CBA!$B$3:$L$23,11,0),0),0)</f>
        <v>0</v>
      </c>
      <c r="S95" s="584">
        <f>IFERROR(IF(VLOOKUP(S$2,MODULY_CBA!$B$3:$N$23,13,0)&lt;='TCO TO BE- SW'!$D95,SUM('TCO TO BE- SW'!S$6:S$15)*VLOOKUP('TCO TO BE- SW'!S$2,MODULY_CBA!$B$3:$L$23,11,0),0),0)</f>
        <v>0</v>
      </c>
      <c r="T95" s="584">
        <f>IFERROR(IF(VLOOKUP(T$2,MODULY_CBA!$B$3:$N$23,13,0)&lt;='TCO TO BE- SW'!$D95,SUM('TCO TO BE- SW'!T$6:T$15)*VLOOKUP('TCO TO BE- SW'!T$2,MODULY_CBA!$B$3:$L$23,11,0),0),0)</f>
        <v>0</v>
      </c>
      <c r="U95" s="584">
        <f>IFERROR(IF(VLOOKUP(U$2,MODULY_CBA!$B$3:$N$23,13,0)&lt;='TCO TO BE- SW'!$D95,SUM('TCO TO BE- SW'!U$6:U$15)*VLOOKUP('TCO TO BE- SW'!U$2,MODULY_CBA!$B$3:$L$23,11,0),0),0)</f>
        <v>0</v>
      </c>
      <c r="V95" s="584">
        <f>IFERROR(IF(VLOOKUP(V$2,MODULY_CBA!$B$3:$N$23,13,0)&lt;='TCO TO BE- SW'!$D95,SUM('TCO TO BE- SW'!V$6:V$15)*VLOOKUP('TCO TO BE- SW'!V$2,MODULY_CBA!$B$3:$L$23,11,0),0),0)</f>
        <v>0</v>
      </c>
      <c r="W95" s="584">
        <f>IFERROR(IF(VLOOKUP(W$2,MODULY_CBA!$B$3:$N$23,13,0)&lt;='TCO TO BE- SW'!$D95,SUM('TCO TO BE- SW'!W$6:W$15)*VLOOKUP('TCO TO BE- SW'!W$2,MODULY_CBA!$B$3:$L$23,11,0),0),0)</f>
        <v>0</v>
      </c>
      <c r="X95" s="584">
        <f>IFERROR(IF(VLOOKUP(X$2,MODULY_CBA!$B$3:$N$23,13,0)&lt;='TCO TO BE- SW'!$D95,SUM('TCO TO BE- SW'!X$6:X$15)*VLOOKUP('TCO TO BE- SW'!X$2,MODULY_CBA!$B$3:$L$23,11,0),0),0)</f>
        <v>0</v>
      </c>
      <c r="Y95" s="584">
        <f>IFERROR(IF(VLOOKUP(Y$2,MODULY_CBA!$B$3:$N$23,13,0)&lt;='TCO TO BE- SW'!$D95,SUM('TCO TO BE- SW'!Y$6:Y$15)*VLOOKUP('TCO TO BE- SW'!Y$2,MODULY_CBA!$B$3:$L$23,11,0),0),0)</f>
        <v>0</v>
      </c>
      <c r="Z95" s="584">
        <f>IFERROR(IF(VLOOKUP(Z$2,MODULY_CBA!$B$3:$N$23,13,0)&lt;='TCO TO BE- SW'!$D95,SUM('TCO TO BE- SW'!Z$6:Z$15)*VLOOKUP('TCO TO BE- SW'!Z$2,MODULY_CBA!$B$3:$L$23,11,0),0),0)</f>
        <v>0</v>
      </c>
    </row>
    <row r="96" spans="1:26" outlineLevel="2">
      <c r="A96" s="817"/>
      <c r="B96" s="818"/>
      <c r="C96" s="818"/>
      <c r="D96" s="64">
        <v>8</v>
      </c>
      <c r="E96" s="61">
        <f t="shared" si="12"/>
        <v>0</v>
      </c>
      <c r="F96" s="584">
        <f>IFERROR(IF(VLOOKUP(F$2,MODULY_CBA!$B$3:$N$23,13,0)&lt;='TCO TO BE- SW'!$D96,SUM('TCO TO BE- SW'!F$6:F$15)*VLOOKUP('TCO TO BE- SW'!F$2,MODULY_CBA!$B$3:$L$23,11,0),0),0)</f>
        <v>0</v>
      </c>
      <c r="G96" s="584">
        <f>IFERROR(IF(VLOOKUP(G$2,MODULY_CBA!$B$3:$N$23,13,0)&lt;='TCO TO BE- SW'!$D96,SUM('TCO TO BE- SW'!G$6:G$15)*VLOOKUP('TCO TO BE- SW'!G$2,MODULY_CBA!$B$3:$L$23,11,0),0),0)</f>
        <v>0</v>
      </c>
      <c r="H96" s="584">
        <f>IFERROR(IF(VLOOKUP(H$2,MODULY_CBA!$B$3:$N$23,13,0)&lt;='TCO TO BE- SW'!$D96,SUM('TCO TO BE- SW'!H$6:H$15)*VLOOKUP('TCO TO BE- SW'!H$2,MODULY_CBA!$B$3:$L$23,11,0),0),0)</f>
        <v>0</v>
      </c>
      <c r="I96" s="584">
        <f>IFERROR(IF(VLOOKUP(I$2,MODULY_CBA!$B$3:$N$23,13,0)&lt;='TCO TO BE- SW'!$D96,SUM('TCO TO BE- SW'!I$6:I$15)*VLOOKUP('TCO TO BE- SW'!I$2,MODULY_CBA!$B$3:$L$23,11,0),0),0)</f>
        <v>0</v>
      </c>
      <c r="J96" s="584">
        <f>IFERROR(IF(VLOOKUP(J$2,MODULY_CBA!$B$3:$N$23,13,0)&lt;='TCO TO BE- SW'!$D96,SUM('TCO TO BE- SW'!J$6:J$15)*VLOOKUP('TCO TO BE- SW'!J$2,MODULY_CBA!$B$3:$L$23,11,0),0),0)</f>
        <v>0</v>
      </c>
      <c r="K96" s="584">
        <f>IFERROR(IF(VLOOKUP(K$2,MODULY_CBA!$B$3:$N$23,13,0)&lt;='TCO TO BE- SW'!$D96,SUM('TCO TO BE- SW'!K$6:K$15)*VLOOKUP('TCO TO BE- SW'!K$2,MODULY_CBA!$B$3:$L$23,11,0),0),0)</f>
        <v>0</v>
      </c>
      <c r="L96" s="584">
        <f>IFERROR(IF(VLOOKUP(L$2,MODULY_CBA!$B$3:$N$23,13,0)&lt;='TCO TO BE- SW'!$D96,SUM('TCO TO BE- SW'!L$6:L$15)*VLOOKUP('TCO TO BE- SW'!L$2,MODULY_CBA!$B$3:$L$23,11,0),0),0)</f>
        <v>0</v>
      </c>
      <c r="M96" s="584">
        <f>IFERROR(IF(VLOOKUP(M$2,MODULY_CBA!$B$3:$N$23,13,0)&lt;='TCO TO BE- SW'!$D96,SUM('TCO TO BE- SW'!M$6:M$15)*VLOOKUP('TCO TO BE- SW'!M$2,MODULY_CBA!$B$3:$L$23,11,0),0),0)</f>
        <v>0</v>
      </c>
      <c r="N96" s="584">
        <f>IFERROR(IF(VLOOKUP(N$2,MODULY_CBA!$B$3:$N$23,13,0)&lt;='TCO TO BE- SW'!$D96,SUM('TCO TO BE- SW'!N$6:N$15)*VLOOKUP('TCO TO BE- SW'!N$2,MODULY_CBA!$B$3:$L$23,11,0),0),0)</f>
        <v>0</v>
      </c>
      <c r="O96" s="584">
        <f>IFERROR(IF(VLOOKUP(O$2,MODULY_CBA!$B$3:$N$23,13,0)&lt;='TCO TO BE- SW'!$D96,SUM('TCO TO BE- SW'!O$6:O$15)*VLOOKUP('TCO TO BE- SW'!O$2,MODULY_CBA!$B$3:$L$23,11,0),0),0)</f>
        <v>0</v>
      </c>
      <c r="P96" s="584">
        <f>IFERROR(IF(VLOOKUP(P$2,MODULY_CBA!$B$3:$N$23,13,0)&lt;='TCO TO BE- SW'!$D96,SUM('TCO TO BE- SW'!P$6:P$15)*VLOOKUP('TCO TO BE- SW'!P$2,MODULY_CBA!$B$3:$L$23,11,0),0),0)</f>
        <v>0</v>
      </c>
      <c r="Q96" s="584">
        <f>IFERROR(IF(VLOOKUP(Q$2,MODULY_CBA!$B$3:$N$23,13,0)&lt;='TCO TO BE- SW'!$D96,SUM('TCO TO BE- SW'!Q$6:Q$15)*VLOOKUP('TCO TO BE- SW'!Q$2,MODULY_CBA!$B$3:$L$23,11,0),0),0)</f>
        <v>0</v>
      </c>
      <c r="R96" s="584">
        <f>IFERROR(IF(VLOOKUP(R$2,MODULY_CBA!$B$3:$N$23,13,0)&lt;='TCO TO BE- SW'!$D96,SUM('TCO TO BE- SW'!R$6:R$15)*VLOOKUP('TCO TO BE- SW'!R$2,MODULY_CBA!$B$3:$L$23,11,0),0),0)</f>
        <v>0</v>
      </c>
      <c r="S96" s="584">
        <f>IFERROR(IF(VLOOKUP(S$2,MODULY_CBA!$B$3:$N$23,13,0)&lt;='TCO TO BE- SW'!$D96,SUM('TCO TO BE- SW'!S$6:S$15)*VLOOKUP('TCO TO BE- SW'!S$2,MODULY_CBA!$B$3:$L$23,11,0),0),0)</f>
        <v>0</v>
      </c>
      <c r="T96" s="584">
        <f>IFERROR(IF(VLOOKUP(T$2,MODULY_CBA!$B$3:$N$23,13,0)&lt;='TCO TO BE- SW'!$D96,SUM('TCO TO BE- SW'!T$6:T$15)*VLOOKUP('TCO TO BE- SW'!T$2,MODULY_CBA!$B$3:$L$23,11,0),0),0)</f>
        <v>0</v>
      </c>
      <c r="U96" s="584">
        <f>IFERROR(IF(VLOOKUP(U$2,MODULY_CBA!$B$3:$N$23,13,0)&lt;='TCO TO BE- SW'!$D96,SUM('TCO TO BE- SW'!U$6:U$15)*VLOOKUP('TCO TO BE- SW'!U$2,MODULY_CBA!$B$3:$L$23,11,0),0),0)</f>
        <v>0</v>
      </c>
      <c r="V96" s="584">
        <f>IFERROR(IF(VLOOKUP(V$2,MODULY_CBA!$B$3:$N$23,13,0)&lt;='TCO TO BE- SW'!$D96,SUM('TCO TO BE- SW'!V$6:V$15)*VLOOKUP('TCO TO BE- SW'!V$2,MODULY_CBA!$B$3:$L$23,11,0),0),0)</f>
        <v>0</v>
      </c>
      <c r="W96" s="584">
        <f>IFERROR(IF(VLOOKUP(W$2,MODULY_CBA!$B$3:$N$23,13,0)&lt;='TCO TO BE- SW'!$D96,SUM('TCO TO BE- SW'!W$6:W$15)*VLOOKUP('TCO TO BE- SW'!W$2,MODULY_CBA!$B$3:$L$23,11,0),0),0)</f>
        <v>0</v>
      </c>
      <c r="X96" s="584">
        <f>IFERROR(IF(VLOOKUP(X$2,MODULY_CBA!$B$3:$N$23,13,0)&lt;='TCO TO BE- SW'!$D96,SUM('TCO TO BE- SW'!X$6:X$15)*VLOOKUP('TCO TO BE- SW'!X$2,MODULY_CBA!$B$3:$L$23,11,0),0),0)</f>
        <v>0</v>
      </c>
      <c r="Y96" s="584">
        <f>IFERROR(IF(VLOOKUP(Y$2,MODULY_CBA!$B$3:$N$23,13,0)&lt;='TCO TO BE- SW'!$D96,SUM('TCO TO BE- SW'!Y$6:Y$15)*VLOOKUP('TCO TO BE- SW'!Y$2,MODULY_CBA!$B$3:$L$23,11,0),0),0)</f>
        <v>0</v>
      </c>
      <c r="Z96" s="584">
        <f>IFERROR(IF(VLOOKUP(Z$2,MODULY_CBA!$B$3:$N$23,13,0)&lt;='TCO TO BE- SW'!$D96,SUM('TCO TO BE- SW'!Z$6:Z$15)*VLOOKUP('TCO TO BE- SW'!Z$2,MODULY_CBA!$B$3:$L$23,11,0),0),0)</f>
        <v>0</v>
      </c>
    </row>
    <row r="97" spans="1:26" outlineLevel="2">
      <c r="A97" s="817"/>
      <c r="B97" s="818"/>
      <c r="C97" s="818"/>
      <c r="D97" s="64">
        <v>9</v>
      </c>
      <c r="E97" s="61">
        <f t="shared" si="12"/>
        <v>0</v>
      </c>
      <c r="F97" s="584">
        <f>IFERROR(IF(VLOOKUP(F$2,MODULY_CBA!$B$3:$N$23,13,0)&lt;='TCO TO BE- SW'!$D97,SUM('TCO TO BE- SW'!F$6:F$15)*VLOOKUP('TCO TO BE- SW'!F$2,MODULY_CBA!$B$3:$L$23,11,0),0),0)</f>
        <v>0</v>
      </c>
      <c r="G97" s="584">
        <f>IFERROR(IF(VLOOKUP(G$2,MODULY_CBA!$B$3:$N$23,13,0)&lt;='TCO TO BE- SW'!$D97,SUM('TCO TO BE- SW'!G$6:G$15)*VLOOKUP('TCO TO BE- SW'!G$2,MODULY_CBA!$B$3:$L$23,11,0),0),0)</f>
        <v>0</v>
      </c>
      <c r="H97" s="584">
        <f>IFERROR(IF(VLOOKUP(H$2,MODULY_CBA!$B$3:$N$23,13,0)&lt;='TCO TO BE- SW'!$D97,SUM('TCO TO BE- SW'!H$6:H$15)*VLOOKUP('TCO TO BE- SW'!H$2,MODULY_CBA!$B$3:$L$23,11,0),0),0)</f>
        <v>0</v>
      </c>
      <c r="I97" s="584">
        <f>IFERROR(IF(VLOOKUP(I$2,MODULY_CBA!$B$3:$N$23,13,0)&lt;='TCO TO BE- SW'!$D97,SUM('TCO TO BE- SW'!I$6:I$15)*VLOOKUP('TCO TO BE- SW'!I$2,MODULY_CBA!$B$3:$L$23,11,0),0),0)</f>
        <v>0</v>
      </c>
      <c r="J97" s="584">
        <f>IFERROR(IF(VLOOKUP(J$2,MODULY_CBA!$B$3:$N$23,13,0)&lt;='TCO TO BE- SW'!$D97,SUM('TCO TO BE- SW'!J$6:J$15)*VLOOKUP('TCO TO BE- SW'!J$2,MODULY_CBA!$B$3:$L$23,11,0),0),0)</f>
        <v>0</v>
      </c>
      <c r="K97" s="584">
        <f>IFERROR(IF(VLOOKUP(K$2,MODULY_CBA!$B$3:$N$23,13,0)&lt;='TCO TO BE- SW'!$D97,SUM('TCO TO BE- SW'!K$6:K$15)*VLOOKUP('TCO TO BE- SW'!K$2,MODULY_CBA!$B$3:$L$23,11,0),0),0)</f>
        <v>0</v>
      </c>
      <c r="L97" s="584">
        <f>IFERROR(IF(VLOOKUP(L$2,MODULY_CBA!$B$3:$N$23,13,0)&lt;='TCO TO BE- SW'!$D97,SUM('TCO TO BE- SW'!L$6:L$15)*VLOOKUP('TCO TO BE- SW'!L$2,MODULY_CBA!$B$3:$L$23,11,0),0),0)</f>
        <v>0</v>
      </c>
      <c r="M97" s="584">
        <f>IFERROR(IF(VLOOKUP(M$2,MODULY_CBA!$B$3:$N$23,13,0)&lt;='TCO TO BE- SW'!$D97,SUM('TCO TO BE- SW'!M$6:M$15)*VLOOKUP('TCO TO BE- SW'!M$2,MODULY_CBA!$B$3:$L$23,11,0),0),0)</f>
        <v>0</v>
      </c>
      <c r="N97" s="584">
        <f>IFERROR(IF(VLOOKUP(N$2,MODULY_CBA!$B$3:$N$23,13,0)&lt;='TCO TO BE- SW'!$D97,SUM('TCO TO BE- SW'!N$6:N$15)*VLOOKUP('TCO TO BE- SW'!N$2,MODULY_CBA!$B$3:$L$23,11,0),0),0)</f>
        <v>0</v>
      </c>
      <c r="O97" s="584">
        <f>IFERROR(IF(VLOOKUP(O$2,MODULY_CBA!$B$3:$N$23,13,0)&lt;='TCO TO BE- SW'!$D97,SUM('TCO TO BE- SW'!O$6:O$15)*VLOOKUP('TCO TO BE- SW'!O$2,MODULY_CBA!$B$3:$L$23,11,0),0),0)</f>
        <v>0</v>
      </c>
      <c r="P97" s="584">
        <f>IFERROR(IF(VLOOKUP(P$2,MODULY_CBA!$B$3:$N$23,13,0)&lt;='TCO TO BE- SW'!$D97,SUM('TCO TO BE- SW'!P$6:P$15)*VLOOKUP('TCO TO BE- SW'!P$2,MODULY_CBA!$B$3:$L$23,11,0),0),0)</f>
        <v>0</v>
      </c>
      <c r="Q97" s="584">
        <f>IFERROR(IF(VLOOKUP(Q$2,MODULY_CBA!$B$3:$N$23,13,0)&lt;='TCO TO BE- SW'!$D97,SUM('TCO TO BE- SW'!Q$6:Q$15)*VLOOKUP('TCO TO BE- SW'!Q$2,MODULY_CBA!$B$3:$L$23,11,0),0),0)</f>
        <v>0</v>
      </c>
      <c r="R97" s="584">
        <f>IFERROR(IF(VLOOKUP(R$2,MODULY_CBA!$B$3:$N$23,13,0)&lt;='TCO TO BE- SW'!$D97,SUM('TCO TO BE- SW'!R$6:R$15)*VLOOKUP('TCO TO BE- SW'!R$2,MODULY_CBA!$B$3:$L$23,11,0),0),0)</f>
        <v>0</v>
      </c>
      <c r="S97" s="584">
        <f>IFERROR(IF(VLOOKUP(S$2,MODULY_CBA!$B$3:$N$23,13,0)&lt;='TCO TO BE- SW'!$D97,SUM('TCO TO BE- SW'!S$6:S$15)*VLOOKUP('TCO TO BE- SW'!S$2,MODULY_CBA!$B$3:$L$23,11,0),0),0)</f>
        <v>0</v>
      </c>
      <c r="T97" s="584">
        <f>IFERROR(IF(VLOOKUP(T$2,MODULY_CBA!$B$3:$N$23,13,0)&lt;='TCO TO BE- SW'!$D97,SUM('TCO TO BE- SW'!T$6:T$15)*VLOOKUP('TCO TO BE- SW'!T$2,MODULY_CBA!$B$3:$L$23,11,0),0),0)</f>
        <v>0</v>
      </c>
      <c r="U97" s="584">
        <f>IFERROR(IF(VLOOKUP(U$2,MODULY_CBA!$B$3:$N$23,13,0)&lt;='TCO TO BE- SW'!$D97,SUM('TCO TO BE- SW'!U$6:U$15)*VLOOKUP('TCO TO BE- SW'!U$2,MODULY_CBA!$B$3:$L$23,11,0),0),0)</f>
        <v>0</v>
      </c>
      <c r="V97" s="584">
        <f>IFERROR(IF(VLOOKUP(V$2,MODULY_CBA!$B$3:$N$23,13,0)&lt;='TCO TO BE- SW'!$D97,SUM('TCO TO BE- SW'!V$6:V$15)*VLOOKUP('TCO TO BE- SW'!V$2,MODULY_CBA!$B$3:$L$23,11,0),0),0)</f>
        <v>0</v>
      </c>
      <c r="W97" s="584">
        <f>IFERROR(IF(VLOOKUP(W$2,MODULY_CBA!$B$3:$N$23,13,0)&lt;='TCO TO BE- SW'!$D97,SUM('TCO TO BE- SW'!W$6:W$15)*VLOOKUP('TCO TO BE- SW'!W$2,MODULY_CBA!$B$3:$L$23,11,0),0),0)</f>
        <v>0</v>
      </c>
      <c r="X97" s="584">
        <f>IFERROR(IF(VLOOKUP(X$2,MODULY_CBA!$B$3:$N$23,13,0)&lt;='TCO TO BE- SW'!$D97,SUM('TCO TO BE- SW'!X$6:X$15)*VLOOKUP('TCO TO BE- SW'!X$2,MODULY_CBA!$B$3:$L$23,11,0),0),0)</f>
        <v>0</v>
      </c>
      <c r="Y97" s="584">
        <f>IFERROR(IF(VLOOKUP(Y$2,MODULY_CBA!$B$3:$N$23,13,0)&lt;='TCO TO BE- SW'!$D97,SUM('TCO TO BE- SW'!Y$6:Y$15)*VLOOKUP('TCO TO BE- SW'!Y$2,MODULY_CBA!$B$3:$L$23,11,0),0),0)</f>
        <v>0</v>
      </c>
      <c r="Z97" s="584">
        <f>IFERROR(IF(VLOOKUP(Z$2,MODULY_CBA!$B$3:$N$23,13,0)&lt;='TCO TO BE- SW'!$D97,SUM('TCO TO BE- SW'!Z$6:Z$15)*VLOOKUP('TCO TO BE- SW'!Z$2,MODULY_CBA!$B$3:$L$23,11,0),0),0)</f>
        <v>0</v>
      </c>
    </row>
    <row r="98" spans="1:26" ht="15.75" outlineLevel="2" thickBot="1">
      <c r="A98" s="817"/>
      <c r="B98" s="818"/>
      <c r="C98" s="818"/>
      <c r="D98" s="65">
        <v>10</v>
      </c>
      <c r="E98" s="61">
        <f t="shared" si="12"/>
        <v>0</v>
      </c>
      <c r="F98" s="586">
        <f>IFERROR(IF(VLOOKUP(F$2,MODULY_CBA!$B$3:$N$23,13,0)&lt;='TCO TO BE- SW'!$D98,SUM('TCO TO BE- SW'!F$6:F$15)*VLOOKUP('TCO TO BE- SW'!F$2,MODULY_CBA!$B$3:$L$23,11,0),0),0)</f>
        <v>0</v>
      </c>
      <c r="G98" s="586">
        <f>IFERROR(IF(VLOOKUP(G$2,MODULY_CBA!$B$3:$N$23,13,0)&lt;='TCO TO BE- SW'!$D98,SUM('TCO TO BE- SW'!G$6:G$15)*VLOOKUP('TCO TO BE- SW'!G$2,MODULY_CBA!$B$3:$L$23,11,0),0),0)</f>
        <v>0</v>
      </c>
      <c r="H98" s="586">
        <f>IFERROR(IF(VLOOKUP(H$2,MODULY_CBA!$B$3:$N$23,13,0)&lt;='TCO TO BE- SW'!$D98,SUM('TCO TO BE- SW'!H$6:H$15)*VLOOKUP('TCO TO BE- SW'!H$2,MODULY_CBA!$B$3:$L$23,11,0),0),0)</f>
        <v>0</v>
      </c>
      <c r="I98" s="586">
        <f>IFERROR(IF(VLOOKUP(I$2,MODULY_CBA!$B$3:$N$23,13,0)&lt;='TCO TO BE- SW'!$D98,SUM('TCO TO BE- SW'!I$6:I$15)*VLOOKUP('TCO TO BE- SW'!I$2,MODULY_CBA!$B$3:$L$23,11,0),0),0)</f>
        <v>0</v>
      </c>
      <c r="J98" s="586">
        <f>IFERROR(IF(VLOOKUP(J$2,MODULY_CBA!$B$3:$N$23,13,0)&lt;='TCO TO BE- SW'!$D98,SUM('TCO TO BE- SW'!J$6:J$15)*VLOOKUP('TCO TO BE- SW'!J$2,MODULY_CBA!$B$3:$L$23,11,0),0),0)</f>
        <v>0</v>
      </c>
      <c r="K98" s="586">
        <f>IFERROR(IF(VLOOKUP(K$2,MODULY_CBA!$B$3:$N$23,13,0)&lt;='TCO TO BE- SW'!$D98,SUM('TCO TO BE- SW'!K$6:K$15)*VLOOKUP('TCO TO BE- SW'!K$2,MODULY_CBA!$B$3:$L$23,11,0),0),0)</f>
        <v>0</v>
      </c>
      <c r="L98" s="586">
        <f>IFERROR(IF(VLOOKUP(L$2,MODULY_CBA!$B$3:$N$23,13,0)&lt;='TCO TO BE- SW'!$D98,SUM('TCO TO BE- SW'!L$6:L$15)*VLOOKUP('TCO TO BE- SW'!L$2,MODULY_CBA!$B$3:$L$23,11,0),0),0)</f>
        <v>0</v>
      </c>
      <c r="M98" s="586">
        <f>IFERROR(IF(VLOOKUP(M$2,MODULY_CBA!$B$3:$N$23,13,0)&lt;='TCO TO BE- SW'!$D98,SUM('TCO TO BE- SW'!M$6:M$15)*VLOOKUP('TCO TO BE- SW'!M$2,MODULY_CBA!$B$3:$L$23,11,0),0),0)</f>
        <v>0</v>
      </c>
      <c r="N98" s="586">
        <f>IFERROR(IF(VLOOKUP(N$2,MODULY_CBA!$B$3:$N$23,13,0)&lt;='TCO TO BE- SW'!$D98,SUM('TCO TO BE- SW'!N$6:N$15)*VLOOKUP('TCO TO BE- SW'!N$2,MODULY_CBA!$B$3:$L$23,11,0),0),0)</f>
        <v>0</v>
      </c>
      <c r="O98" s="586">
        <f>IFERROR(IF(VLOOKUP(O$2,MODULY_CBA!$B$3:$N$23,13,0)&lt;='TCO TO BE- SW'!$D98,SUM('TCO TO BE- SW'!O$6:O$15)*VLOOKUP('TCO TO BE- SW'!O$2,MODULY_CBA!$B$3:$L$23,11,0),0),0)</f>
        <v>0</v>
      </c>
      <c r="P98" s="586">
        <f>IFERROR(IF(VLOOKUP(P$2,MODULY_CBA!$B$3:$N$23,13,0)&lt;='TCO TO BE- SW'!$D98,SUM('TCO TO BE- SW'!P$6:P$15)*VLOOKUP('TCO TO BE- SW'!P$2,MODULY_CBA!$B$3:$L$23,11,0),0),0)</f>
        <v>0</v>
      </c>
      <c r="Q98" s="586">
        <f>IFERROR(IF(VLOOKUP(Q$2,MODULY_CBA!$B$3:$N$23,13,0)&lt;='TCO TO BE- SW'!$D98,SUM('TCO TO BE- SW'!Q$6:Q$15)*VLOOKUP('TCO TO BE- SW'!Q$2,MODULY_CBA!$B$3:$L$23,11,0),0),0)</f>
        <v>0</v>
      </c>
      <c r="R98" s="586">
        <f>IFERROR(IF(VLOOKUP(R$2,MODULY_CBA!$B$3:$N$23,13,0)&lt;='TCO TO BE- SW'!$D98,SUM('TCO TO BE- SW'!R$6:R$15)*VLOOKUP('TCO TO BE- SW'!R$2,MODULY_CBA!$B$3:$L$23,11,0),0),0)</f>
        <v>0</v>
      </c>
      <c r="S98" s="586">
        <f>IFERROR(IF(VLOOKUP(S$2,MODULY_CBA!$B$3:$N$23,13,0)&lt;='TCO TO BE- SW'!$D98,SUM('TCO TO BE- SW'!S$6:S$15)*VLOOKUP('TCO TO BE- SW'!S$2,MODULY_CBA!$B$3:$L$23,11,0),0),0)</f>
        <v>0</v>
      </c>
      <c r="T98" s="586">
        <f>IFERROR(IF(VLOOKUP(T$2,MODULY_CBA!$B$3:$N$23,13,0)&lt;='TCO TO BE- SW'!$D98,SUM('TCO TO BE- SW'!T$6:T$15)*VLOOKUP('TCO TO BE- SW'!T$2,MODULY_CBA!$B$3:$L$23,11,0),0),0)</f>
        <v>0</v>
      </c>
      <c r="U98" s="586">
        <f>IFERROR(IF(VLOOKUP(U$2,MODULY_CBA!$B$3:$N$23,13,0)&lt;='TCO TO BE- SW'!$D98,SUM('TCO TO BE- SW'!U$6:U$15)*VLOOKUP('TCO TO BE- SW'!U$2,MODULY_CBA!$B$3:$L$23,11,0),0),0)</f>
        <v>0</v>
      </c>
      <c r="V98" s="586">
        <f>IFERROR(IF(VLOOKUP(V$2,MODULY_CBA!$B$3:$N$23,13,0)&lt;='TCO TO BE- SW'!$D98,SUM('TCO TO BE- SW'!V$6:V$15)*VLOOKUP('TCO TO BE- SW'!V$2,MODULY_CBA!$B$3:$L$23,11,0),0),0)</f>
        <v>0</v>
      </c>
      <c r="W98" s="586">
        <f>IFERROR(IF(VLOOKUP(W$2,MODULY_CBA!$B$3:$N$23,13,0)&lt;='TCO TO BE- SW'!$D98,SUM('TCO TO BE- SW'!W$6:W$15)*VLOOKUP('TCO TO BE- SW'!W$2,MODULY_CBA!$B$3:$L$23,11,0),0),0)</f>
        <v>0</v>
      </c>
      <c r="X98" s="586">
        <f>IFERROR(IF(VLOOKUP(X$2,MODULY_CBA!$B$3:$N$23,13,0)&lt;='TCO TO BE- SW'!$D98,SUM('TCO TO BE- SW'!X$6:X$15)*VLOOKUP('TCO TO BE- SW'!X$2,MODULY_CBA!$B$3:$L$23,11,0),0),0)</f>
        <v>0</v>
      </c>
      <c r="Y98" s="586">
        <f>IFERROR(IF(VLOOKUP(Y$2,MODULY_CBA!$B$3:$N$23,13,0)&lt;='TCO TO BE- SW'!$D98,SUM('TCO TO BE- SW'!Y$6:Y$15)*VLOOKUP('TCO TO BE- SW'!Y$2,MODULY_CBA!$B$3:$L$23,11,0),0),0)</f>
        <v>0</v>
      </c>
      <c r="Z98" s="586">
        <f>IFERROR(IF(VLOOKUP(Z$2,MODULY_CBA!$B$3:$N$23,13,0)&lt;='TCO TO BE- SW'!$D98,SUM('TCO TO BE- SW'!Z$6:Z$15)*VLOOKUP('TCO TO BE- SW'!Z$2,MODULY_CBA!$B$3:$L$23,11,0),0),0)</f>
        <v>0</v>
      </c>
    </row>
    <row r="99" spans="1:26" ht="15.75" outlineLevel="1" thickBot="1">
      <c r="A99" s="17" t="s">
        <v>101</v>
      </c>
      <c r="B99" s="17"/>
      <c r="C99" s="17"/>
      <c r="D99" s="27"/>
      <c r="E99" s="448">
        <f t="shared" ref="E99:Z99" si="13">SUM(E100:E149)</f>
        <v>45731743.805664584</v>
      </c>
      <c r="F99" s="449">
        <f t="shared" si="13"/>
        <v>10714079.945722952</v>
      </c>
      <c r="G99" s="449">
        <f t="shared" si="13"/>
        <v>757254.52525196387</v>
      </c>
      <c r="H99" s="449">
        <f t="shared" si="13"/>
        <v>739394.74871300266</v>
      </c>
      <c r="I99" s="449">
        <f t="shared" si="13"/>
        <v>442922.45816624304</v>
      </c>
      <c r="J99" s="449">
        <f t="shared" si="13"/>
        <v>739394.74871300266</v>
      </c>
      <c r="K99" s="449">
        <f t="shared" si="13"/>
        <v>148236.14527337966</v>
      </c>
      <c r="L99" s="449">
        <f t="shared" si="13"/>
        <v>15224467.289656879</v>
      </c>
      <c r="M99" s="449">
        <f t="shared" si="13"/>
        <v>3054418.6720854896</v>
      </c>
      <c r="N99" s="449">
        <f t="shared" si="13"/>
        <v>1511333.979119224</v>
      </c>
      <c r="O99" s="449">
        <f t="shared" si="13"/>
        <v>12400241.292962449</v>
      </c>
      <c r="P99" s="449">
        <f t="shared" si="13"/>
        <v>0</v>
      </c>
      <c r="Q99" s="449">
        <f t="shared" si="13"/>
        <v>0</v>
      </c>
      <c r="R99" s="449">
        <f t="shared" si="13"/>
        <v>0</v>
      </c>
      <c r="S99" s="449">
        <f t="shared" si="13"/>
        <v>0</v>
      </c>
      <c r="T99" s="449">
        <f t="shared" si="13"/>
        <v>0</v>
      </c>
      <c r="U99" s="449">
        <f t="shared" si="13"/>
        <v>0</v>
      </c>
      <c r="V99" s="449">
        <f t="shared" si="13"/>
        <v>0</v>
      </c>
      <c r="W99" s="449">
        <f t="shared" si="13"/>
        <v>0</v>
      </c>
      <c r="X99" s="449">
        <f t="shared" si="13"/>
        <v>0</v>
      </c>
      <c r="Y99" s="449">
        <f t="shared" si="13"/>
        <v>0</v>
      </c>
      <c r="Z99" s="449">
        <f t="shared" si="13"/>
        <v>0</v>
      </c>
    </row>
    <row r="100" spans="1:26" outlineLevel="2">
      <c r="A100" s="817" t="s">
        <v>1500</v>
      </c>
      <c r="B100" s="818" t="s">
        <v>1497</v>
      </c>
      <c r="C100" s="818">
        <v>635009</v>
      </c>
      <c r="D100" s="63">
        <v>1</v>
      </c>
      <c r="E100" s="67">
        <f t="shared" ref="E100:E149" si="14">SUM(F100:Z100)</f>
        <v>0</v>
      </c>
      <c r="F100" s="586">
        <f>IFERROR(IF(VLOOKUP(F$2,MODULY_CBA!$B$3:$N$23,13,0)&lt;='TCO TO BE- SW'!$D100,SUM('TCO TO BE- SW'!F$37:F$46)*VLOOKUP('TCO TO BE- SW'!F$2,MODULY_CBA!$B$3:$L$23,10,0),0),0)</f>
        <v>0</v>
      </c>
      <c r="G100" s="586">
        <f>IFERROR(IF(VLOOKUP(G$2,MODULY_CBA!$B$3:$N$23,13,0)&lt;='TCO TO BE- SW'!$D100,SUM('TCO TO BE- SW'!G$37:G$46)*VLOOKUP('TCO TO BE- SW'!G$2,MODULY_CBA!$B$3:$L$23,10,0),0),0)</f>
        <v>0</v>
      </c>
      <c r="H100" s="586">
        <f>IFERROR(IF(VLOOKUP(H$2,MODULY_CBA!$B$3:$N$23,13,0)&lt;='TCO TO BE- SW'!$D100,SUM('TCO TO BE- SW'!H$37:H$46)*VLOOKUP('TCO TO BE- SW'!H$2,MODULY_CBA!$B$3:$L$23,10,0),0),0)</f>
        <v>0</v>
      </c>
      <c r="I100" s="586">
        <f>IFERROR(IF(VLOOKUP(I$2,MODULY_CBA!$B$3:$N$23,13,0)&lt;='TCO TO BE- SW'!$D100,SUM('TCO TO BE- SW'!I$37:I$46)*VLOOKUP('TCO TO BE- SW'!I$2,MODULY_CBA!$B$3:$L$23,10,0),0),0)</f>
        <v>0</v>
      </c>
      <c r="J100" s="586">
        <f>IFERROR(IF(VLOOKUP(J$2,MODULY_CBA!$B$3:$N$23,13,0)&lt;='TCO TO BE- SW'!$D100,SUM('TCO TO BE- SW'!J$37:J$46)*VLOOKUP('TCO TO BE- SW'!J$2,MODULY_CBA!$B$3:$L$23,10,0),0),0)</f>
        <v>0</v>
      </c>
      <c r="K100" s="586">
        <f>IFERROR(IF(VLOOKUP(K$2,MODULY_CBA!$B$3:$N$23,13,0)&lt;='TCO TO BE- SW'!$D100,SUM('TCO TO BE- SW'!K$37:K$46)*VLOOKUP('TCO TO BE- SW'!K$2,MODULY_CBA!$B$3:$L$23,10,0),0),0)</f>
        <v>0</v>
      </c>
      <c r="L100" s="586">
        <f>IFERROR(IF(VLOOKUP(L$2,MODULY_CBA!$B$3:$N$23,13,0)&lt;='TCO TO BE- SW'!$D100,SUM('TCO TO BE- SW'!L$37:L$46)*VLOOKUP('TCO TO BE- SW'!L$2,MODULY_CBA!$B$3:$L$23,10,0),0),0)</f>
        <v>0</v>
      </c>
      <c r="M100" s="586">
        <f>IFERROR(IF(VLOOKUP(M$2,MODULY_CBA!$B$3:$N$23,13,0)&lt;='TCO TO BE- SW'!$D100,SUM('TCO TO BE- SW'!M$37:M$46)*VLOOKUP('TCO TO BE- SW'!M$2,MODULY_CBA!$B$3:$L$23,10,0),0),0)</f>
        <v>0</v>
      </c>
      <c r="N100" s="586">
        <f>IFERROR(IF(VLOOKUP(N$2,MODULY_CBA!$B$3:$N$23,13,0)&lt;='TCO TO BE- SW'!$D100,SUM('TCO TO BE- SW'!N$37:N$46)*VLOOKUP('TCO TO BE- SW'!N$2,MODULY_CBA!$B$3:$L$23,10,0),0),0)</f>
        <v>0</v>
      </c>
      <c r="O100" s="586">
        <f>IFERROR(IF(VLOOKUP(O$2,MODULY_CBA!$B$3:$N$23,13,0)&lt;='TCO TO BE- SW'!$D100,SUM('TCO TO BE- SW'!O$37:O$46)*VLOOKUP('TCO TO BE- SW'!O$2,MODULY_CBA!$B$3:$L$23,10,0),0),0)</f>
        <v>0</v>
      </c>
      <c r="P100" s="586">
        <f>IFERROR(IF(VLOOKUP(P$2,MODULY_CBA!$B$3:$N$23,13,0)&lt;='TCO TO BE- SW'!$D100,SUM('TCO TO BE- SW'!P$37:P$46)*VLOOKUP('TCO TO BE- SW'!P$2,MODULY_CBA!$B$3:$L$23,10,0),0),0)</f>
        <v>0</v>
      </c>
      <c r="Q100" s="586">
        <f>IFERROR(IF(VLOOKUP(Q$2,MODULY_CBA!$B$3:$N$23,13,0)&lt;='TCO TO BE- SW'!$D100,SUM('TCO TO BE- SW'!Q$37:Q$46)*VLOOKUP('TCO TO BE- SW'!Q$2,MODULY_CBA!$B$3:$L$23,10,0),0),0)</f>
        <v>0</v>
      </c>
      <c r="R100" s="586">
        <f>IFERROR(IF(VLOOKUP(R$2,MODULY_CBA!$B$3:$N$23,13,0)&lt;='TCO TO BE- SW'!$D100,SUM('TCO TO BE- SW'!R$37:R$46)*VLOOKUP('TCO TO BE- SW'!R$2,MODULY_CBA!$B$3:$L$23,10,0),0),0)</f>
        <v>0</v>
      </c>
      <c r="S100" s="586">
        <f>IFERROR(IF(VLOOKUP(S$2,MODULY_CBA!$B$3:$N$23,13,0)&lt;='TCO TO BE- SW'!$D100,SUM('TCO TO BE- SW'!S$37:S$46)*VLOOKUP('TCO TO BE- SW'!S$2,MODULY_CBA!$B$3:$L$23,10,0),0),0)</f>
        <v>0</v>
      </c>
      <c r="T100" s="586">
        <f>IFERROR(IF(VLOOKUP(T$2,MODULY_CBA!$B$3:$N$23,13,0)&lt;='TCO TO BE- SW'!$D100,SUM('TCO TO BE- SW'!T$37:T$46)*VLOOKUP('TCO TO BE- SW'!T$2,MODULY_CBA!$B$3:$L$23,10,0),0),0)</f>
        <v>0</v>
      </c>
      <c r="U100" s="586">
        <f>IFERROR(IF(VLOOKUP(U$2,MODULY_CBA!$B$3:$N$23,13,0)&lt;='TCO TO BE- SW'!$D100,SUM('TCO TO BE- SW'!U$37:U$46)*VLOOKUP('TCO TO BE- SW'!U$2,MODULY_CBA!$B$3:$L$23,10,0),0),0)</f>
        <v>0</v>
      </c>
      <c r="V100" s="586">
        <f>IFERROR(IF(VLOOKUP(V$2,MODULY_CBA!$B$3:$N$23,13,0)&lt;='TCO TO BE- SW'!$D100,SUM('TCO TO BE- SW'!V$37:V$46)*VLOOKUP('TCO TO BE- SW'!V$2,MODULY_CBA!$B$3:$L$23,10,0),0),0)</f>
        <v>0</v>
      </c>
      <c r="W100" s="586">
        <f>IFERROR(IF(VLOOKUP(W$2,MODULY_CBA!$B$3:$N$23,13,0)&lt;='TCO TO BE- SW'!$D100,SUM('TCO TO BE- SW'!W$37:W$46)*VLOOKUP('TCO TO BE- SW'!W$2,MODULY_CBA!$B$3:$L$23,10,0),0),0)</f>
        <v>0</v>
      </c>
      <c r="X100" s="586">
        <f>IFERROR(IF(VLOOKUP(X$2,MODULY_CBA!$B$3:$N$23,13,0)&lt;='TCO TO BE- SW'!$D100,SUM('TCO TO BE- SW'!X$37:X$46)*VLOOKUP('TCO TO BE- SW'!X$2,MODULY_CBA!$B$3:$L$23,10,0),0),0)</f>
        <v>0</v>
      </c>
      <c r="Y100" s="586">
        <f>IFERROR(IF(VLOOKUP(Y$2,MODULY_CBA!$B$3:$N$23,13,0)&lt;='TCO TO BE- SW'!$D100,SUM('TCO TO BE- SW'!Y$37:Y$46)*VLOOKUP('TCO TO BE- SW'!Y$2,MODULY_CBA!$B$3:$L$23,10,0),0),0)</f>
        <v>0</v>
      </c>
      <c r="Z100" s="586">
        <f>IFERROR(IF(VLOOKUP(Z$2,MODULY_CBA!$B$3:$N$23,13,0)&lt;='TCO TO BE- SW'!$D100,SUM('TCO TO BE- SW'!Z$37:Z$46)*VLOOKUP('TCO TO BE- SW'!Z$2,MODULY_CBA!$B$3:$L$23,10,0),0),0)</f>
        <v>0</v>
      </c>
    </row>
    <row r="101" spans="1:26" outlineLevel="2">
      <c r="A101" s="817"/>
      <c r="B101" s="818"/>
      <c r="C101" s="818"/>
      <c r="D101" s="64">
        <v>2</v>
      </c>
      <c r="E101" s="68">
        <f t="shared" si="14"/>
        <v>644822.97961145442</v>
      </c>
      <c r="F101" s="586">
        <f>IFERROR(IF(VLOOKUP(F$2,MODULY_CBA!$B$3:$N$23,13,0)&lt;='TCO TO BE- SW'!$D101,SUM('TCO TO BE- SW'!F$37:F$46)*VLOOKUP('TCO TO BE- SW'!F$2,MODULY_CBA!$B$3:$L$23,10,0),0),0)</f>
        <v>510194.28312966437</v>
      </c>
      <c r="G101" s="586">
        <f>IFERROR(IF(VLOOKUP(G$2,MODULY_CBA!$B$3:$N$23,13,0)&lt;='TCO TO BE- SW'!$D101,SUM('TCO TO BE- SW'!G$37:G$46)*VLOOKUP('TCO TO BE- SW'!G$2,MODULY_CBA!$B$3:$L$23,10,0),0),0)</f>
        <v>36059.739297712564</v>
      </c>
      <c r="H101" s="586">
        <f>IFERROR(IF(VLOOKUP(H$2,MODULY_CBA!$B$3:$N$23,13,0)&lt;='TCO TO BE- SW'!$D101,SUM('TCO TO BE- SW'!H$37:H$46)*VLOOKUP('TCO TO BE- SW'!H$2,MODULY_CBA!$B$3:$L$23,10,0),0),0)</f>
        <v>35209.273748238214</v>
      </c>
      <c r="I101" s="586">
        <f>IFERROR(IF(VLOOKUP(I$2,MODULY_CBA!$B$3:$N$23,13,0)&lt;='TCO TO BE- SW'!$D101,SUM('TCO TO BE- SW'!I$37:I$46)*VLOOKUP('TCO TO BE- SW'!I$2,MODULY_CBA!$B$3:$L$23,10,0),0),0)</f>
        <v>21091.545626963954</v>
      </c>
      <c r="J101" s="586">
        <f>IFERROR(IF(VLOOKUP(J$2,MODULY_CBA!$B$3:$N$23,13,0)&lt;='TCO TO BE- SW'!$D101,SUM('TCO TO BE- SW'!J$37:J$46)*VLOOKUP('TCO TO BE- SW'!J$2,MODULY_CBA!$B$3:$L$23,10,0),0),0)</f>
        <v>35209.273748238214</v>
      </c>
      <c r="K101" s="586">
        <f>IFERROR(IF(VLOOKUP(K$2,MODULY_CBA!$B$3:$N$23,13,0)&lt;='TCO TO BE- SW'!$D101,SUM('TCO TO BE- SW'!K$37:K$46)*VLOOKUP('TCO TO BE- SW'!K$2,MODULY_CBA!$B$3:$L$23,10,0),0),0)</f>
        <v>7058.8640606371282</v>
      </c>
      <c r="L101" s="586">
        <f>IFERROR(IF(VLOOKUP(L$2,MODULY_CBA!$B$3:$N$23,13,0)&lt;='TCO TO BE- SW'!$D101,SUM('TCO TO BE- SW'!L$37:L$46)*VLOOKUP('TCO TO BE- SW'!L$2,MODULY_CBA!$B$3:$L$23,10,0),0),0)</f>
        <v>0</v>
      </c>
      <c r="M101" s="586">
        <f>IFERROR(IF(VLOOKUP(M$2,MODULY_CBA!$B$3:$N$23,13,0)&lt;='TCO TO BE- SW'!$D101,SUM('TCO TO BE- SW'!M$37:M$46)*VLOOKUP('TCO TO BE- SW'!M$2,MODULY_CBA!$B$3:$L$23,10,0),0),0)</f>
        <v>0</v>
      </c>
      <c r="N101" s="586">
        <f>IFERROR(IF(VLOOKUP(N$2,MODULY_CBA!$B$3:$N$23,13,0)&lt;='TCO TO BE- SW'!$D101,SUM('TCO TO BE- SW'!N$37:N$46)*VLOOKUP('TCO TO BE- SW'!N$2,MODULY_CBA!$B$3:$L$23,10,0),0),0)</f>
        <v>0</v>
      </c>
      <c r="O101" s="586">
        <f>IFERROR(IF(VLOOKUP(O$2,MODULY_CBA!$B$3:$N$23,13,0)&lt;='TCO TO BE- SW'!$D101,SUM('TCO TO BE- SW'!O$37:O$46)*VLOOKUP('TCO TO BE- SW'!O$2,MODULY_CBA!$B$3:$L$23,10,0),0),0)</f>
        <v>0</v>
      </c>
      <c r="P101" s="586">
        <f>IFERROR(IF(VLOOKUP(P$2,MODULY_CBA!$B$3:$N$23,13,0)&lt;='TCO TO BE- SW'!$D101,SUM('TCO TO BE- SW'!P$37:P$46)*VLOOKUP('TCO TO BE- SW'!P$2,MODULY_CBA!$B$3:$L$23,10,0),0),0)</f>
        <v>0</v>
      </c>
      <c r="Q101" s="586">
        <f>IFERROR(IF(VLOOKUP(Q$2,MODULY_CBA!$B$3:$N$23,13,0)&lt;='TCO TO BE- SW'!$D101,SUM('TCO TO BE- SW'!Q$37:Q$46)*VLOOKUP('TCO TO BE- SW'!Q$2,MODULY_CBA!$B$3:$L$23,10,0),0),0)</f>
        <v>0</v>
      </c>
      <c r="R101" s="586">
        <f>IFERROR(IF(VLOOKUP(R$2,MODULY_CBA!$B$3:$N$23,13,0)&lt;='TCO TO BE- SW'!$D101,SUM('TCO TO BE- SW'!R$37:R$46)*VLOOKUP('TCO TO BE- SW'!R$2,MODULY_CBA!$B$3:$L$23,10,0),0),0)</f>
        <v>0</v>
      </c>
      <c r="S101" s="586">
        <f>IFERROR(IF(VLOOKUP(S$2,MODULY_CBA!$B$3:$N$23,13,0)&lt;='TCO TO BE- SW'!$D101,SUM('TCO TO BE- SW'!S$37:S$46)*VLOOKUP('TCO TO BE- SW'!S$2,MODULY_CBA!$B$3:$L$23,10,0),0),0)</f>
        <v>0</v>
      </c>
      <c r="T101" s="586">
        <f>IFERROR(IF(VLOOKUP(T$2,MODULY_CBA!$B$3:$N$23,13,0)&lt;='TCO TO BE- SW'!$D101,SUM('TCO TO BE- SW'!T$37:T$46)*VLOOKUP('TCO TO BE- SW'!T$2,MODULY_CBA!$B$3:$L$23,10,0),0),0)</f>
        <v>0</v>
      </c>
      <c r="U101" s="586">
        <f>IFERROR(IF(VLOOKUP(U$2,MODULY_CBA!$B$3:$N$23,13,0)&lt;='TCO TO BE- SW'!$D101,SUM('TCO TO BE- SW'!U$37:U$46)*VLOOKUP('TCO TO BE- SW'!U$2,MODULY_CBA!$B$3:$L$23,10,0),0),0)</f>
        <v>0</v>
      </c>
      <c r="V101" s="586">
        <f>IFERROR(IF(VLOOKUP(V$2,MODULY_CBA!$B$3:$N$23,13,0)&lt;='TCO TO BE- SW'!$D101,SUM('TCO TO BE- SW'!V$37:V$46)*VLOOKUP('TCO TO BE- SW'!V$2,MODULY_CBA!$B$3:$L$23,10,0),0),0)</f>
        <v>0</v>
      </c>
      <c r="W101" s="586">
        <f>IFERROR(IF(VLOOKUP(W$2,MODULY_CBA!$B$3:$N$23,13,0)&lt;='TCO TO BE- SW'!$D101,SUM('TCO TO BE- SW'!W$37:W$46)*VLOOKUP('TCO TO BE- SW'!W$2,MODULY_CBA!$B$3:$L$23,10,0),0),0)</f>
        <v>0</v>
      </c>
      <c r="X101" s="586">
        <f>IFERROR(IF(VLOOKUP(X$2,MODULY_CBA!$B$3:$N$23,13,0)&lt;='TCO TO BE- SW'!$D101,SUM('TCO TO BE- SW'!X$37:X$46)*VLOOKUP('TCO TO BE- SW'!X$2,MODULY_CBA!$B$3:$L$23,10,0),0),0)</f>
        <v>0</v>
      </c>
      <c r="Y101" s="586">
        <f>IFERROR(IF(VLOOKUP(Y$2,MODULY_CBA!$B$3:$N$23,13,0)&lt;='TCO TO BE- SW'!$D101,SUM('TCO TO BE- SW'!Y$37:Y$46)*VLOOKUP('TCO TO BE- SW'!Y$2,MODULY_CBA!$B$3:$L$23,10,0),0),0)</f>
        <v>0</v>
      </c>
      <c r="Z101" s="586">
        <f>IFERROR(IF(VLOOKUP(Z$2,MODULY_CBA!$B$3:$N$23,13,0)&lt;='TCO TO BE- SW'!$D101,SUM('TCO TO BE- SW'!Z$37:Z$46)*VLOOKUP('TCO TO BE- SW'!Z$2,MODULY_CBA!$B$3:$L$23,10,0),0),0)</f>
        <v>0</v>
      </c>
    </row>
    <row r="102" spans="1:26" outlineLevel="2">
      <c r="A102" s="817"/>
      <c r="B102" s="818"/>
      <c r="C102" s="818"/>
      <c r="D102" s="64">
        <v>3</v>
      </c>
      <c r="E102" s="68">
        <f t="shared" si="14"/>
        <v>2369311.9742806</v>
      </c>
      <c r="F102" s="586">
        <f>IFERROR(IF(VLOOKUP(F$2,MODULY_CBA!$B$3:$N$23,13,0)&lt;='TCO TO BE- SW'!$D102,SUM('TCO TO BE- SW'!F$37:F$46)*VLOOKUP('TCO TO BE- SW'!F$2,MODULY_CBA!$B$3:$L$23,10,0),0),0)</f>
        <v>510194.28312966437</v>
      </c>
      <c r="G102" s="586">
        <f>IFERROR(IF(VLOOKUP(G$2,MODULY_CBA!$B$3:$N$23,13,0)&lt;='TCO TO BE- SW'!$D102,SUM('TCO TO BE- SW'!G$37:G$46)*VLOOKUP('TCO TO BE- SW'!G$2,MODULY_CBA!$B$3:$L$23,10,0),0),0)</f>
        <v>36059.739297712564</v>
      </c>
      <c r="H102" s="586">
        <f>IFERROR(IF(VLOOKUP(H$2,MODULY_CBA!$B$3:$N$23,13,0)&lt;='TCO TO BE- SW'!$D102,SUM('TCO TO BE- SW'!H$37:H$46)*VLOOKUP('TCO TO BE- SW'!H$2,MODULY_CBA!$B$3:$L$23,10,0),0),0)</f>
        <v>35209.273748238214</v>
      </c>
      <c r="I102" s="586">
        <f>IFERROR(IF(VLOOKUP(I$2,MODULY_CBA!$B$3:$N$23,13,0)&lt;='TCO TO BE- SW'!$D102,SUM('TCO TO BE- SW'!I$37:I$46)*VLOOKUP('TCO TO BE- SW'!I$2,MODULY_CBA!$B$3:$L$23,10,0),0),0)</f>
        <v>21091.545626963954</v>
      </c>
      <c r="J102" s="586">
        <f>IFERROR(IF(VLOOKUP(J$2,MODULY_CBA!$B$3:$N$23,13,0)&lt;='TCO TO BE- SW'!$D102,SUM('TCO TO BE- SW'!J$37:J$46)*VLOOKUP('TCO TO BE- SW'!J$2,MODULY_CBA!$B$3:$L$23,10,0),0),0)</f>
        <v>35209.273748238214</v>
      </c>
      <c r="K102" s="586">
        <f>IFERROR(IF(VLOOKUP(K$2,MODULY_CBA!$B$3:$N$23,13,0)&lt;='TCO TO BE- SW'!$D102,SUM('TCO TO BE- SW'!K$37:K$46)*VLOOKUP('TCO TO BE- SW'!K$2,MODULY_CBA!$B$3:$L$23,10,0),0),0)</f>
        <v>7058.8640606371282</v>
      </c>
      <c r="L102" s="586">
        <f>IFERROR(IF(VLOOKUP(L$2,MODULY_CBA!$B$3:$N$23,13,0)&lt;='TCO TO BE- SW'!$D102,SUM('TCO TO BE- SW'!L$37:L$46)*VLOOKUP('TCO TO BE- SW'!L$2,MODULY_CBA!$B$3:$L$23,10,0),0),0)</f>
        <v>815596.46194590454</v>
      </c>
      <c r="M102" s="586">
        <f>IFERROR(IF(VLOOKUP(M$2,MODULY_CBA!$B$3:$N$23,13,0)&lt;='TCO TO BE- SW'!$D102,SUM('TCO TO BE- SW'!M$37:M$46)*VLOOKUP('TCO TO BE- SW'!M$2,MODULY_CBA!$B$3:$L$23,10,0),0),0)</f>
        <v>163629.57171886551</v>
      </c>
      <c r="N102" s="586">
        <f>IFERROR(IF(VLOOKUP(N$2,MODULY_CBA!$B$3:$N$23,13,0)&lt;='TCO TO BE- SW'!$D102,SUM('TCO TO BE- SW'!N$37:N$46)*VLOOKUP('TCO TO BE- SW'!N$2,MODULY_CBA!$B$3:$L$23,10,0),0),0)</f>
        <v>80964.320309958406</v>
      </c>
      <c r="O102" s="586">
        <f>IFERROR(IF(VLOOKUP(O$2,MODULY_CBA!$B$3:$N$23,13,0)&lt;='TCO TO BE- SW'!$D102,SUM('TCO TO BE- SW'!O$37:O$46)*VLOOKUP('TCO TO BE- SW'!O$2,MODULY_CBA!$B$3:$L$23,10,0),0),0)</f>
        <v>664298.64069441694</v>
      </c>
      <c r="P102" s="586">
        <f>IFERROR(IF(VLOOKUP(P$2,MODULY_CBA!$B$3:$N$23,13,0)&lt;='TCO TO BE- SW'!$D102,SUM('TCO TO BE- SW'!P$37:P$46)*VLOOKUP('TCO TO BE- SW'!P$2,MODULY_CBA!$B$3:$L$23,10,0),0),0)</f>
        <v>0</v>
      </c>
      <c r="Q102" s="586">
        <f>IFERROR(IF(VLOOKUP(Q$2,MODULY_CBA!$B$3:$N$23,13,0)&lt;='TCO TO BE- SW'!$D102,SUM('TCO TO BE- SW'!Q$37:Q$46)*VLOOKUP('TCO TO BE- SW'!Q$2,MODULY_CBA!$B$3:$L$23,10,0),0),0)</f>
        <v>0</v>
      </c>
      <c r="R102" s="586">
        <f>IFERROR(IF(VLOOKUP(R$2,MODULY_CBA!$B$3:$N$23,13,0)&lt;='TCO TO BE- SW'!$D102,SUM('TCO TO BE- SW'!R$37:R$46)*VLOOKUP('TCO TO BE- SW'!R$2,MODULY_CBA!$B$3:$L$23,10,0),0),0)</f>
        <v>0</v>
      </c>
      <c r="S102" s="586">
        <f>IFERROR(IF(VLOOKUP(S$2,MODULY_CBA!$B$3:$N$23,13,0)&lt;='TCO TO BE- SW'!$D102,SUM('TCO TO BE- SW'!S$37:S$46)*VLOOKUP('TCO TO BE- SW'!S$2,MODULY_CBA!$B$3:$L$23,10,0),0),0)</f>
        <v>0</v>
      </c>
      <c r="T102" s="586">
        <f>IFERROR(IF(VLOOKUP(T$2,MODULY_CBA!$B$3:$N$23,13,0)&lt;='TCO TO BE- SW'!$D102,SUM('TCO TO BE- SW'!T$37:T$46)*VLOOKUP('TCO TO BE- SW'!T$2,MODULY_CBA!$B$3:$L$23,10,0),0),0)</f>
        <v>0</v>
      </c>
      <c r="U102" s="586">
        <f>IFERROR(IF(VLOOKUP(U$2,MODULY_CBA!$B$3:$N$23,13,0)&lt;='TCO TO BE- SW'!$D102,SUM('TCO TO BE- SW'!U$37:U$46)*VLOOKUP('TCO TO BE- SW'!U$2,MODULY_CBA!$B$3:$L$23,10,0),0),0)</f>
        <v>0</v>
      </c>
      <c r="V102" s="586">
        <f>IFERROR(IF(VLOOKUP(V$2,MODULY_CBA!$B$3:$N$23,13,0)&lt;='TCO TO BE- SW'!$D102,SUM('TCO TO BE- SW'!V$37:V$46)*VLOOKUP('TCO TO BE- SW'!V$2,MODULY_CBA!$B$3:$L$23,10,0),0),0)</f>
        <v>0</v>
      </c>
      <c r="W102" s="586">
        <f>IFERROR(IF(VLOOKUP(W$2,MODULY_CBA!$B$3:$N$23,13,0)&lt;='TCO TO BE- SW'!$D102,SUM('TCO TO BE- SW'!W$37:W$46)*VLOOKUP('TCO TO BE- SW'!W$2,MODULY_CBA!$B$3:$L$23,10,0),0),0)</f>
        <v>0</v>
      </c>
      <c r="X102" s="586">
        <f>IFERROR(IF(VLOOKUP(X$2,MODULY_CBA!$B$3:$N$23,13,0)&lt;='TCO TO BE- SW'!$D102,SUM('TCO TO BE- SW'!X$37:X$46)*VLOOKUP('TCO TO BE- SW'!X$2,MODULY_CBA!$B$3:$L$23,10,0),0),0)</f>
        <v>0</v>
      </c>
      <c r="Y102" s="586">
        <f>IFERROR(IF(VLOOKUP(Y$2,MODULY_CBA!$B$3:$N$23,13,0)&lt;='TCO TO BE- SW'!$D102,SUM('TCO TO BE- SW'!Y$37:Y$46)*VLOOKUP('TCO TO BE- SW'!Y$2,MODULY_CBA!$B$3:$L$23,10,0),0),0)</f>
        <v>0</v>
      </c>
      <c r="Z102" s="586">
        <f>IFERROR(IF(VLOOKUP(Z$2,MODULY_CBA!$B$3:$N$23,13,0)&lt;='TCO TO BE- SW'!$D102,SUM('TCO TO BE- SW'!Z$37:Z$46)*VLOOKUP('TCO TO BE- SW'!Z$2,MODULY_CBA!$B$3:$L$23,10,0),0),0)</f>
        <v>0</v>
      </c>
    </row>
    <row r="103" spans="1:26" outlineLevel="2">
      <c r="A103" s="817"/>
      <c r="B103" s="818"/>
      <c r="C103" s="818"/>
      <c r="D103" s="64">
        <v>4</v>
      </c>
      <c r="E103" s="68">
        <f t="shared" si="14"/>
        <v>2369311.9742806</v>
      </c>
      <c r="F103" s="586">
        <f>IFERROR(IF(VLOOKUP(F$2,MODULY_CBA!$B$3:$N$23,13,0)&lt;='TCO TO BE- SW'!$D103,SUM('TCO TO BE- SW'!F$37:F$46)*VLOOKUP('TCO TO BE- SW'!F$2,MODULY_CBA!$B$3:$L$23,10,0),0),0)</f>
        <v>510194.28312966437</v>
      </c>
      <c r="G103" s="586">
        <f>IFERROR(IF(VLOOKUP(G$2,MODULY_CBA!$B$3:$N$23,13,0)&lt;='TCO TO BE- SW'!$D103,SUM('TCO TO BE- SW'!G$37:G$46)*VLOOKUP('TCO TO BE- SW'!G$2,MODULY_CBA!$B$3:$L$23,10,0),0),0)</f>
        <v>36059.739297712564</v>
      </c>
      <c r="H103" s="586">
        <f>IFERROR(IF(VLOOKUP(H$2,MODULY_CBA!$B$3:$N$23,13,0)&lt;='TCO TO BE- SW'!$D103,SUM('TCO TO BE- SW'!H$37:H$46)*VLOOKUP('TCO TO BE- SW'!H$2,MODULY_CBA!$B$3:$L$23,10,0),0),0)</f>
        <v>35209.273748238214</v>
      </c>
      <c r="I103" s="586">
        <f>IFERROR(IF(VLOOKUP(I$2,MODULY_CBA!$B$3:$N$23,13,0)&lt;='TCO TO BE- SW'!$D103,SUM('TCO TO BE- SW'!I$37:I$46)*VLOOKUP('TCO TO BE- SW'!I$2,MODULY_CBA!$B$3:$L$23,10,0),0),0)</f>
        <v>21091.545626963954</v>
      </c>
      <c r="J103" s="586">
        <f>IFERROR(IF(VLOOKUP(J$2,MODULY_CBA!$B$3:$N$23,13,0)&lt;='TCO TO BE- SW'!$D103,SUM('TCO TO BE- SW'!J$37:J$46)*VLOOKUP('TCO TO BE- SW'!J$2,MODULY_CBA!$B$3:$L$23,10,0),0),0)</f>
        <v>35209.273748238214</v>
      </c>
      <c r="K103" s="586">
        <f>IFERROR(IF(VLOOKUP(K$2,MODULY_CBA!$B$3:$N$23,13,0)&lt;='TCO TO BE- SW'!$D103,SUM('TCO TO BE- SW'!K$37:K$46)*VLOOKUP('TCO TO BE- SW'!K$2,MODULY_CBA!$B$3:$L$23,10,0),0),0)</f>
        <v>7058.8640606371282</v>
      </c>
      <c r="L103" s="586">
        <f>IFERROR(IF(VLOOKUP(L$2,MODULY_CBA!$B$3:$N$23,13,0)&lt;='TCO TO BE- SW'!$D103,SUM('TCO TO BE- SW'!L$37:L$46)*VLOOKUP('TCO TO BE- SW'!L$2,MODULY_CBA!$B$3:$L$23,10,0),0),0)</f>
        <v>815596.46194590454</v>
      </c>
      <c r="M103" s="586">
        <f>IFERROR(IF(VLOOKUP(M$2,MODULY_CBA!$B$3:$N$23,13,0)&lt;='TCO TO BE- SW'!$D103,SUM('TCO TO BE- SW'!M$37:M$46)*VLOOKUP('TCO TO BE- SW'!M$2,MODULY_CBA!$B$3:$L$23,10,0),0),0)</f>
        <v>163629.57171886551</v>
      </c>
      <c r="N103" s="586">
        <f>IFERROR(IF(VLOOKUP(N$2,MODULY_CBA!$B$3:$N$23,13,0)&lt;='TCO TO BE- SW'!$D103,SUM('TCO TO BE- SW'!N$37:N$46)*VLOOKUP('TCO TO BE- SW'!N$2,MODULY_CBA!$B$3:$L$23,10,0),0),0)</f>
        <v>80964.320309958406</v>
      </c>
      <c r="O103" s="586">
        <f>IFERROR(IF(VLOOKUP(O$2,MODULY_CBA!$B$3:$N$23,13,0)&lt;='TCO TO BE- SW'!$D103,SUM('TCO TO BE- SW'!O$37:O$46)*VLOOKUP('TCO TO BE- SW'!O$2,MODULY_CBA!$B$3:$L$23,10,0),0),0)</f>
        <v>664298.64069441694</v>
      </c>
      <c r="P103" s="586">
        <f>IFERROR(IF(VLOOKUP(P$2,MODULY_CBA!$B$3:$N$23,13,0)&lt;='TCO TO BE- SW'!$D103,SUM('TCO TO BE- SW'!P$37:P$46)*VLOOKUP('TCO TO BE- SW'!P$2,MODULY_CBA!$B$3:$L$23,10,0),0),0)</f>
        <v>0</v>
      </c>
      <c r="Q103" s="586">
        <f>IFERROR(IF(VLOOKUP(Q$2,MODULY_CBA!$B$3:$N$23,13,0)&lt;='TCO TO BE- SW'!$D103,SUM('TCO TO BE- SW'!Q$37:Q$46)*VLOOKUP('TCO TO BE- SW'!Q$2,MODULY_CBA!$B$3:$L$23,10,0),0),0)</f>
        <v>0</v>
      </c>
      <c r="R103" s="586">
        <f>IFERROR(IF(VLOOKUP(R$2,MODULY_CBA!$B$3:$N$23,13,0)&lt;='TCO TO BE- SW'!$D103,SUM('TCO TO BE- SW'!R$37:R$46)*VLOOKUP('TCO TO BE- SW'!R$2,MODULY_CBA!$B$3:$L$23,10,0),0),0)</f>
        <v>0</v>
      </c>
      <c r="S103" s="586">
        <f>IFERROR(IF(VLOOKUP(S$2,MODULY_CBA!$B$3:$N$23,13,0)&lt;='TCO TO BE- SW'!$D103,SUM('TCO TO BE- SW'!S$37:S$46)*VLOOKUP('TCO TO BE- SW'!S$2,MODULY_CBA!$B$3:$L$23,10,0),0),0)</f>
        <v>0</v>
      </c>
      <c r="T103" s="586">
        <f>IFERROR(IF(VLOOKUP(T$2,MODULY_CBA!$B$3:$N$23,13,0)&lt;='TCO TO BE- SW'!$D103,SUM('TCO TO BE- SW'!T$37:T$46)*VLOOKUP('TCO TO BE- SW'!T$2,MODULY_CBA!$B$3:$L$23,10,0),0),0)</f>
        <v>0</v>
      </c>
      <c r="U103" s="586">
        <f>IFERROR(IF(VLOOKUP(U$2,MODULY_CBA!$B$3:$N$23,13,0)&lt;='TCO TO BE- SW'!$D103,SUM('TCO TO BE- SW'!U$37:U$46)*VLOOKUP('TCO TO BE- SW'!U$2,MODULY_CBA!$B$3:$L$23,10,0),0),0)</f>
        <v>0</v>
      </c>
      <c r="V103" s="586">
        <f>IFERROR(IF(VLOOKUP(V$2,MODULY_CBA!$B$3:$N$23,13,0)&lt;='TCO TO BE- SW'!$D103,SUM('TCO TO BE- SW'!V$37:V$46)*VLOOKUP('TCO TO BE- SW'!V$2,MODULY_CBA!$B$3:$L$23,10,0),0),0)</f>
        <v>0</v>
      </c>
      <c r="W103" s="586">
        <f>IFERROR(IF(VLOOKUP(W$2,MODULY_CBA!$B$3:$N$23,13,0)&lt;='TCO TO BE- SW'!$D103,SUM('TCO TO BE- SW'!W$37:W$46)*VLOOKUP('TCO TO BE- SW'!W$2,MODULY_CBA!$B$3:$L$23,10,0),0),0)</f>
        <v>0</v>
      </c>
      <c r="X103" s="586">
        <f>IFERROR(IF(VLOOKUP(X$2,MODULY_CBA!$B$3:$N$23,13,0)&lt;='TCO TO BE- SW'!$D103,SUM('TCO TO BE- SW'!X$37:X$46)*VLOOKUP('TCO TO BE- SW'!X$2,MODULY_CBA!$B$3:$L$23,10,0),0),0)</f>
        <v>0</v>
      </c>
      <c r="Y103" s="586">
        <f>IFERROR(IF(VLOOKUP(Y$2,MODULY_CBA!$B$3:$N$23,13,0)&lt;='TCO TO BE- SW'!$D103,SUM('TCO TO BE- SW'!Y$37:Y$46)*VLOOKUP('TCO TO BE- SW'!Y$2,MODULY_CBA!$B$3:$L$23,10,0),0),0)</f>
        <v>0</v>
      </c>
      <c r="Z103" s="586">
        <f>IFERROR(IF(VLOOKUP(Z$2,MODULY_CBA!$B$3:$N$23,13,0)&lt;='TCO TO BE- SW'!$D103,SUM('TCO TO BE- SW'!Z$37:Z$46)*VLOOKUP('TCO TO BE- SW'!Z$2,MODULY_CBA!$B$3:$L$23,10,0),0),0)</f>
        <v>0</v>
      </c>
    </row>
    <row r="104" spans="1:26" outlineLevel="2">
      <c r="A104" s="817"/>
      <c r="B104" s="818"/>
      <c r="C104" s="818"/>
      <c r="D104" s="64">
        <v>5</v>
      </c>
      <c r="E104" s="68">
        <f t="shared" si="14"/>
        <v>2369311.9742806</v>
      </c>
      <c r="F104" s="586">
        <f>IFERROR(IF(VLOOKUP(F$2,MODULY_CBA!$B$3:$N$23,13,0)&lt;='TCO TO BE- SW'!$D104,SUM('TCO TO BE- SW'!F$37:F$46)*VLOOKUP('TCO TO BE- SW'!F$2,MODULY_CBA!$B$3:$L$23,10,0),0),0)</f>
        <v>510194.28312966437</v>
      </c>
      <c r="G104" s="586">
        <f>IFERROR(IF(VLOOKUP(G$2,MODULY_CBA!$B$3:$N$23,13,0)&lt;='TCO TO BE- SW'!$D104,SUM('TCO TO BE- SW'!G$37:G$46)*VLOOKUP('TCO TO BE- SW'!G$2,MODULY_CBA!$B$3:$L$23,10,0),0),0)</f>
        <v>36059.739297712564</v>
      </c>
      <c r="H104" s="586">
        <f>IFERROR(IF(VLOOKUP(H$2,MODULY_CBA!$B$3:$N$23,13,0)&lt;='TCO TO BE- SW'!$D104,SUM('TCO TO BE- SW'!H$37:H$46)*VLOOKUP('TCO TO BE- SW'!H$2,MODULY_CBA!$B$3:$L$23,10,0),0),0)</f>
        <v>35209.273748238214</v>
      </c>
      <c r="I104" s="586">
        <f>IFERROR(IF(VLOOKUP(I$2,MODULY_CBA!$B$3:$N$23,13,0)&lt;='TCO TO BE- SW'!$D104,SUM('TCO TO BE- SW'!I$37:I$46)*VLOOKUP('TCO TO BE- SW'!I$2,MODULY_CBA!$B$3:$L$23,10,0),0),0)</f>
        <v>21091.545626963954</v>
      </c>
      <c r="J104" s="586">
        <f>IFERROR(IF(VLOOKUP(J$2,MODULY_CBA!$B$3:$N$23,13,0)&lt;='TCO TO BE- SW'!$D104,SUM('TCO TO BE- SW'!J$37:J$46)*VLOOKUP('TCO TO BE- SW'!J$2,MODULY_CBA!$B$3:$L$23,10,0),0),0)</f>
        <v>35209.273748238214</v>
      </c>
      <c r="K104" s="586">
        <f>IFERROR(IF(VLOOKUP(K$2,MODULY_CBA!$B$3:$N$23,13,0)&lt;='TCO TO BE- SW'!$D104,SUM('TCO TO BE- SW'!K$37:K$46)*VLOOKUP('TCO TO BE- SW'!K$2,MODULY_CBA!$B$3:$L$23,10,0),0),0)</f>
        <v>7058.8640606371282</v>
      </c>
      <c r="L104" s="586">
        <f>IFERROR(IF(VLOOKUP(L$2,MODULY_CBA!$B$3:$N$23,13,0)&lt;='TCO TO BE- SW'!$D104,SUM('TCO TO BE- SW'!L$37:L$46)*VLOOKUP('TCO TO BE- SW'!L$2,MODULY_CBA!$B$3:$L$23,10,0),0),0)</f>
        <v>815596.46194590454</v>
      </c>
      <c r="M104" s="586">
        <f>IFERROR(IF(VLOOKUP(M$2,MODULY_CBA!$B$3:$N$23,13,0)&lt;='TCO TO BE- SW'!$D104,SUM('TCO TO BE- SW'!M$37:M$46)*VLOOKUP('TCO TO BE- SW'!M$2,MODULY_CBA!$B$3:$L$23,10,0),0),0)</f>
        <v>163629.57171886551</v>
      </c>
      <c r="N104" s="586">
        <f>IFERROR(IF(VLOOKUP(N$2,MODULY_CBA!$B$3:$N$23,13,0)&lt;='TCO TO BE- SW'!$D104,SUM('TCO TO BE- SW'!N$37:N$46)*VLOOKUP('TCO TO BE- SW'!N$2,MODULY_CBA!$B$3:$L$23,10,0),0),0)</f>
        <v>80964.320309958406</v>
      </c>
      <c r="O104" s="586">
        <f>IFERROR(IF(VLOOKUP(O$2,MODULY_CBA!$B$3:$N$23,13,0)&lt;='TCO TO BE- SW'!$D104,SUM('TCO TO BE- SW'!O$37:O$46)*VLOOKUP('TCO TO BE- SW'!O$2,MODULY_CBA!$B$3:$L$23,10,0),0),0)</f>
        <v>664298.64069441694</v>
      </c>
      <c r="P104" s="586">
        <f>IFERROR(IF(VLOOKUP(P$2,MODULY_CBA!$B$3:$N$23,13,0)&lt;='TCO TO BE- SW'!$D104,SUM('TCO TO BE- SW'!P$37:P$46)*VLOOKUP('TCO TO BE- SW'!P$2,MODULY_CBA!$B$3:$L$23,10,0),0),0)</f>
        <v>0</v>
      </c>
      <c r="Q104" s="586">
        <f>IFERROR(IF(VLOOKUP(Q$2,MODULY_CBA!$B$3:$N$23,13,0)&lt;='TCO TO BE- SW'!$D104,SUM('TCO TO BE- SW'!Q$37:Q$46)*VLOOKUP('TCO TO BE- SW'!Q$2,MODULY_CBA!$B$3:$L$23,10,0),0),0)</f>
        <v>0</v>
      </c>
      <c r="R104" s="586">
        <f>IFERROR(IF(VLOOKUP(R$2,MODULY_CBA!$B$3:$N$23,13,0)&lt;='TCO TO BE- SW'!$D104,SUM('TCO TO BE- SW'!R$37:R$46)*VLOOKUP('TCO TO BE- SW'!R$2,MODULY_CBA!$B$3:$L$23,10,0),0),0)</f>
        <v>0</v>
      </c>
      <c r="S104" s="586">
        <f>IFERROR(IF(VLOOKUP(S$2,MODULY_CBA!$B$3:$N$23,13,0)&lt;='TCO TO BE- SW'!$D104,SUM('TCO TO BE- SW'!S$37:S$46)*VLOOKUP('TCO TO BE- SW'!S$2,MODULY_CBA!$B$3:$L$23,10,0),0),0)</f>
        <v>0</v>
      </c>
      <c r="T104" s="586">
        <f>IFERROR(IF(VLOOKUP(T$2,MODULY_CBA!$B$3:$N$23,13,0)&lt;='TCO TO BE- SW'!$D104,SUM('TCO TO BE- SW'!T$37:T$46)*VLOOKUP('TCO TO BE- SW'!T$2,MODULY_CBA!$B$3:$L$23,10,0),0),0)</f>
        <v>0</v>
      </c>
      <c r="U104" s="586">
        <f>IFERROR(IF(VLOOKUP(U$2,MODULY_CBA!$B$3:$N$23,13,0)&lt;='TCO TO BE- SW'!$D104,SUM('TCO TO BE- SW'!U$37:U$46)*VLOOKUP('TCO TO BE- SW'!U$2,MODULY_CBA!$B$3:$L$23,10,0),0),0)</f>
        <v>0</v>
      </c>
      <c r="V104" s="586">
        <f>IFERROR(IF(VLOOKUP(V$2,MODULY_CBA!$B$3:$N$23,13,0)&lt;='TCO TO BE- SW'!$D104,SUM('TCO TO BE- SW'!V$37:V$46)*VLOOKUP('TCO TO BE- SW'!V$2,MODULY_CBA!$B$3:$L$23,10,0),0),0)</f>
        <v>0</v>
      </c>
      <c r="W104" s="586">
        <f>IFERROR(IF(VLOOKUP(W$2,MODULY_CBA!$B$3:$N$23,13,0)&lt;='TCO TO BE- SW'!$D104,SUM('TCO TO BE- SW'!W$37:W$46)*VLOOKUP('TCO TO BE- SW'!W$2,MODULY_CBA!$B$3:$L$23,10,0),0),0)</f>
        <v>0</v>
      </c>
      <c r="X104" s="586">
        <f>IFERROR(IF(VLOOKUP(X$2,MODULY_CBA!$B$3:$N$23,13,0)&lt;='TCO TO BE- SW'!$D104,SUM('TCO TO BE- SW'!X$37:X$46)*VLOOKUP('TCO TO BE- SW'!X$2,MODULY_CBA!$B$3:$L$23,10,0),0),0)</f>
        <v>0</v>
      </c>
      <c r="Y104" s="586">
        <f>IFERROR(IF(VLOOKUP(Y$2,MODULY_CBA!$B$3:$N$23,13,0)&lt;='TCO TO BE- SW'!$D104,SUM('TCO TO BE- SW'!Y$37:Y$46)*VLOOKUP('TCO TO BE- SW'!Y$2,MODULY_CBA!$B$3:$L$23,10,0),0),0)</f>
        <v>0</v>
      </c>
      <c r="Z104" s="586">
        <f>IFERROR(IF(VLOOKUP(Z$2,MODULY_CBA!$B$3:$N$23,13,0)&lt;='TCO TO BE- SW'!$D104,SUM('TCO TO BE- SW'!Z$37:Z$46)*VLOOKUP('TCO TO BE- SW'!Z$2,MODULY_CBA!$B$3:$L$23,10,0),0),0)</f>
        <v>0</v>
      </c>
    </row>
    <row r="105" spans="1:26" outlineLevel="2">
      <c r="A105" s="817"/>
      <c r="B105" s="818"/>
      <c r="C105" s="818"/>
      <c r="D105" s="64">
        <v>6</v>
      </c>
      <c r="E105" s="68">
        <f t="shared" si="14"/>
        <v>2369311.9742806</v>
      </c>
      <c r="F105" s="586">
        <f>IFERROR(IF(VLOOKUP(F$2,MODULY_CBA!$B$3:$N$23,13,0)&lt;='TCO TO BE- SW'!$D105,SUM('TCO TO BE- SW'!F$37:F$46)*VLOOKUP('TCO TO BE- SW'!F$2,MODULY_CBA!$B$3:$L$23,10,0),0),0)</f>
        <v>510194.28312966437</v>
      </c>
      <c r="G105" s="586">
        <f>IFERROR(IF(VLOOKUP(G$2,MODULY_CBA!$B$3:$N$23,13,0)&lt;='TCO TO BE- SW'!$D105,SUM('TCO TO BE- SW'!G$37:G$46)*VLOOKUP('TCO TO BE- SW'!G$2,MODULY_CBA!$B$3:$L$23,10,0),0),0)</f>
        <v>36059.739297712564</v>
      </c>
      <c r="H105" s="586">
        <f>IFERROR(IF(VLOOKUP(H$2,MODULY_CBA!$B$3:$N$23,13,0)&lt;='TCO TO BE- SW'!$D105,SUM('TCO TO BE- SW'!H$37:H$46)*VLOOKUP('TCO TO BE- SW'!H$2,MODULY_CBA!$B$3:$L$23,10,0),0),0)</f>
        <v>35209.273748238214</v>
      </c>
      <c r="I105" s="586">
        <f>IFERROR(IF(VLOOKUP(I$2,MODULY_CBA!$B$3:$N$23,13,0)&lt;='TCO TO BE- SW'!$D105,SUM('TCO TO BE- SW'!I$37:I$46)*VLOOKUP('TCO TO BE- SW'!I$2,MODULY_CBA!$B$3:$L$23,10,0),0),0)</f>
        <v>21091.545626963954</v>
      </c>
      <c r="J105" s="586">
        <f>IFERROR(IF(VLOOKUP(J$2,MODULY_CBA!$B$3:$N$23,13,0)&lt;='TCO TO BE- SW'!$D105,SUM('TCO TO BE- SW'!J$37:J$46)*VLOOKUP('TCO TO BE- SW'!J$2,MODULY_CBA!$B$3:$L$23,10,0),0),0)</f>
        <v>35209.273748238214</v>
      </c>
      <c r="K105" s="586">
        <f>IFERROR(IF(VLOOKUP(K$2,MODULY_CBA!$B$3:$N$23,13,0)&lt;='TCO TO BE- SW'!$D105,SUM('TCO TO BE- SW'!K$37:K$46)*VLOOKUP('TCO TO BE- SW'!K$2,MODULY_CBA!$B$3:$L$23,10,0),0),0)</f>
        <v>7058.8640606371282</v>
      </c>
      <c r="L105" s="586">
        <f>IFERROR(IF(VLOOKUP(L$2,MODULY_CBA!$B$3:$N$23,13,0)&lt;='TCO TO BE- SW'!$D105,SUM('TCO TO BE- SW'!L$37:L$46)*VLOOKUP('TCO TO BE- SW'!L$2,MODULY_CBA!$B$3:$L$23,10,0),0),0)</f>
        <v>815596.46194590454</v>
      </c>
      <c r="M105" s="586">
        <f>IFERROR(IF(VLOOKUP(M$2,MODULY_CBA!$B$3:$N$23,13,0)&lt;='TCO TO BE- SW'!$D105,SUM('TCO TO BE- SW'!M$37:M$46)*VLOOKUP('TCO TO BE- SW'!M$2,MODULY_CBA!$B$3:$L$23,10,0),0),0)</f>
        <v>163629.57171886551</v>
      </c>
      <c r="N105" s="586">
        <f>IFERROR(IF(VLOOKUP(N$2,MODULY_CBA!$B$3:$N$23,13,0)&lt;='TCO TO BE- SW'!$D105,SUM('TCO TO BE- SW'!N$37:N$46)*VLOOKUP('TCO TO BE- SW'!N$2,MODULY_CBA!$B$3:$L$23,10,0),0),0)</f>
        <v>80964.320309958406</v>
      </c>
      <c r="O105" s="586">
        <f>IFERROR(IF(VLOOKUP(O$2,MODULY_CBA!$B$3:$N$23,13,0)&lt;='TCO TO BE- SW'!$D105,SUM('TCO TO BE- SW'!O$37:O$46)*VLOOKUP('TCO TO BE- SW'!O$2,MODULY_CBA!$B$3:$L$23,10,0),0),0)</f>
        <v>664298.64069441694</v>
      </c>
      <c r="P105" s="586">
        <f>IFERROR(IF(VLOOKUP(P$2,MODULY_CBA!$B$3:$N$23,13,0)&lt;='TCO TO BE- SW'!$D105,SUM('TCO TO BE- SW'!P$37:P$46)*VLOOKUP('TCO TO BE- SW'!P$2,MODULY_CBA!$B$3:$L$23,10,0),0),0)</f>
        <v>0</v>
      </c>
      <c r="Q105" s="586">
        <f>IFERROR(IF(VLOOKUP(Q$2,MODULY_CBA!$B$3:$N$23,13,0)&lt;='TCO TO BE- SW'!$D105,SUM('TCO TO BE- SW'!Q$37:Q$46)*VLOOKUP('TCO TO BE- SW'!Q$2,MODULY_CBA!$B$3:$L$23,10,0),0),0)</f>
        <v>0</v>
      </c>
      <c r="R105" s="586">
        <f>IFERROR(IF(VLOOKUP(R$2,MODULY_CBA!$B$3:$N$23,13,0)&lt;='TCO TO BE- SW'!$D105,SUM('TCO TO BE- SW'!R$37:R$46)*VLOOKUP('TCO TO BE- SW'!R$2,MODULY_CBA!$B$3:$L$23,10,0),0),0)</f>
        <v>0</v>
      </c>
      <c r="S105" s="586">
        <f>IFERROR(IF(VLOOKUP(S$2,MODULY_CBA!$B$3:$N$23,13,0)&lt;='TCO TO BE- SW'!$D105,SUM('TCO TO BE- SW'!S$37:S$46)*VLOOKUP('TCO TO BE- SW'!S$2,MODULY_CBA!$B$3:$L$23,10,0),0),0)</f>
        <v>0</v>
      </c>
      <c r="T105" s="586">
        <f>IFERROR(IF(VLOOKUP(T$2,MODULY_CBA!$B$3:$N$23,13,0)&lt;='TCO TO BE- SW'!$D105,SUM('TCO TO BE- SW'!T$37:T$46)*VLOOKUP('TCO TO BE- SW'!T$2,MODULY_CBA!$B$3:$L$23,10,0),0),0)</f>
        <v>0</v>
      </c>
      <c r="U105" s="586">
        <f>IFERROR(IF(VLOOKUP(U$2,MODULY_CBA!$B$3:$N$23,13,0)&lt;='TCO TO BE- SW'!$D105,SUM('TCO TO BE- SW'!U$37:U$46)*VLOOKUP('TCO TO BE- SW'!U$2,MODULY_CBA!$B$3:$L$23,10,0),0),0)</f>
        <v>0</v>
      </c>
      <c r="V105" s="586">
        <f>IFERROR(IF(VLOOKUP(V$2,MODULY_CBA!$B$3:$N$23,13,0)&lt;='TCO TO BE- SW'!$D105,SUM('TCO TO BE- SW'!V$37:V$46)*VLOOKUP('TCO TO BE- SW'!V$2,MODULY_CBA!$B$3:$L$23,10,0),0),0)</f>
        <v>0</v>
      </c>
      <c r="W105" s="586">
        <f>IFERROR(IF(VLOOKUP(W$2,MODULY_CBA!$B$3:$N$23,13,0)&lt;='TCO TO BE- SW'!$D105,SUM('TCO TO BE- SW'!W$37:W$46)*VLOOKUP('TCO TO BE- SW'!W$2,MODULY_CBA!$B$3:$L$23,10,0),0),0)</f>
        <v>0</v>
      </c>
      <c r="X105" s="586">
        <f>IFERROR(IF(VLOOKUP(X$2,MODULY_CBA!$B$3:$N$23,13,0)&lt;='TCO TO BE- SW'!$D105,SUM('TCO TO BE- SW'!X$37:X$46)*VLOOKUP('TCO TO BE- SW'!X$2,MODULY_CBA!$B$3:$L$23,10,0),0),0)</f>
        <v>0</v>
      </c>
      <c r="Y105" s="586">
        <f>IFERROR(IF(VLOOKUP(Y$2,MODULY_CBA!$B$3:$N$23,13,0)&lt;='TCO TO BE- SW'!$D105,SUM('TCO TO BE- SW'!Y$37:Y$46)*VLOOKUP('TCO TO BE- SW'!Y$2,MODULY_CBA!$B$3:$L$23,10,0),0),0)</f>
        <v>0</v>
      </c>
      <c r="Z105" s="586">
        <f>IFERROR(IF(VLOOKUP(Z$2,MODULY_CBA!$B$3:$N$23,13,0)&lt;='TCO TO BE- SW'!$D105,SUM('TCO TO BE- SW'!Z$37:Z$46)*VLOOKUP('TCO TO BE- SW'!Z$2,MODULY_CBA!$B$3:$L$23,10,0),0),0)</f>
        <v>0</v>
      </c>
    </row>
    <row r="106" spans="1:26" outlineLevel="2">
      <c r="A106" s="817"/>
      <c r="B106" s="818"/>
      <c r="C106" s="818"/>
      <c r="D106" s="64">
        <v>7</v>
      </c>
      <c r="E106" s="68">
        <f t="shared" si="14"/>
        <v>2369311.9742806</v>
      </c>
      <c r="F106" s="586">
        <f>IFERROR(IF(VLOOKUP(F$2,MODULY_CBA!$B$3:$N$23,13,0)&lt;='TCO TO BE- SW'!$D106,SUM('TCO TO BE- SW'!F$37:F$46)*VLOOKUP('TCO TO BE- SW'!F$2,MODULY_CBA!$B$3:$L$23,10,0),0),0)</f>
        <v>510194.28312966437</v>
      </c>
      <c r="G106" s="586">
        <f>IFERROR(IF(VLOOKUP(G$2,MODULY_CBA!$B$3:$N$23,13,0)&lt;='TCO TO BE- SW'!$D106,SUM('TCO TO BE- SW'!G$37:G$46)*VLOOKUP('TCO TO BE- SW'!G$2,MODULY_CBA!$B$3:$L$23,10,0),0),0)</f>
        <v>36059.739297712564</v>
      </c>
      <c r="H106" s="586">
        <f>IFERROR(IF(VLOOKUP(H$2,MODULY_CBA!$B$3:$N$23,13,0)&lt;='TCO TO BE- SW'!$D106,SUM('TCO TO BE- SW'!H$37:H$46)*VLOOKUP('TCO TO BE- SW'!H$2,MODULY_CBA!$B$3:$L$23,10,0),0),0)</f>
        <v>35209.273748238214</v>
      </c>
      <c r="I106" s="586">
        <f>IFERROR(IF(VLOOKUP(I$2,MODULY_CBA!$B$3:$N$23,13,0)&lt;='TCO TO BE- SW'!$D106,SUM('TCO TO BE- SW'!I$37:I$46)*VLOOKUP('TCO TO BE- SW'!I$2,MODULY_CBA!$B$3:$L$23,10,0),0),0)</f>
        <v>21091.545626963954</v>
      </c>
      <c r="J106" s="586">
        <f>IFERROR(IF(VLOOKUP(J$2,MODULY_CBA!$B$3:$N$23,13,0)&lt;='TCO TO BE- SW'!$D106,SUM('TCO TO BE- SW'!J$37:J$46)*VLOOKUP('TCO TO BE- SW'!J$2,MODULY_CBA!$B$3:$L$23,10,0),0),0)</f>
        <v>35209.273748238214</v>
      </c>
      <c r="K106" s="586">
        <f>IFERROR(IF(VLOOKUP(K$2,MODULY_CBA!$B$3:$N$23,13,0)&lt;='TCO TO BE- SW'!$D106,SUM('TCO TO BE- SW'!K$37:K$46)*VLOOKUP('TCO TO BE- SW'!K$2,MODULY_CBA!$B$3:$L$23,10,0),0),0)</f>
        <v>7058.8640606371282</v>
      </c>
      <c r="L106" s="586">
        <f>IFERROR(IF(VLOOKUP(L$2,MODULY_CBA!$B$3:$N$23,13,0)&lt;='TCO TO BE- SW'!$D106,SUM('TCO TO BE- SW'!L$37:L$46)*VLOOKUP('TCO TO BE- SW'!L$2,MODULY_CBA!$B$3:$L$23,10,0),0),0)</f>
        <v>815596.46194590454</v>
      </c>
      <c r="M106" s="586">
        <f>IFERROR(IF(VLOOKUP(M$2,MODULY_CBA!$B$3:$N$23,13,0)&lt;='TCO TO BE- SW'!$D106,SUM('TCO TO BE- SW'!M$37:M$46)*VLOOKUP('TCO TO BE- SW'!M$2,MODULY_CBA!$B$3:$L$23,10,0),0),0)</f>
        <v>163629.57171886551</v>
      </c>
      <c r="N106" s="586">
        <f>IFERROR(IF(VLOOKUP(N$2,MODULY_CBA!$B$3:$N$23,13,0)&lt;='TCO TO BE- SW'!$D106,SUM('TCO TO BE- SW'!N$37:N$46)*VLOOKUP('TCO TO BE- SW'!N$2,MODULY_CBA!$B$3:$L$23,10,0),0),0)</f>
        <v>80964.320309958406</v>
      </c>
      <c r="O106" s="586">
        <f>IFERROR(IF(VLOOKUP(O$2,MODULY_CBA!$B$3:$N$23,13,0)&lt;='TCO TO BE- SW'!$D106,SUM('TCO TO BE- SW'!O$37:O$46)*VLOOKUP('TCO TO BE- SW'!O$2,MODULY_CBA!$B$3:$L$23,10,0),0),0)</f>
        <v>664298.64069441694</v>
      </c>
      <c r="P106" s="586">
        <f>IFERROR(IF(VLOOKUP(P$2,MODULY_CBA!$B$3:$N$23,13,0)&lt;='TCO TO BE- SW'!$D106,SUM('TCO TO BE- SW'!P$37:P$46)*VLOOKUP('TCO TO BE- SW'!P$2,MODULY_CBA!$B$3:$L$23,10,0),0),0)</f>
        <v>0</v>
      </c>
      <c r="Q106" s="586">
        <f>IFERROR(IF(VLOOKUP(Q$2,MODULY_CBA!$B$3:$N$23,13,0)&lt;='TCO TO BE- SW'!$D106,SUM('TCO TO BE- SW'!Q$37:Q$46)*VLOOKUP('TCO TO BE- SW'!Q$2,MODULY_CBA!$B$3:$L$23,10,0),0),0)</f>
        <v>0</v>
      </c>
      <c r="R106" s="586">
        <f>IFERROR(IF(VLOOKUP(R$2,MODULY_CBA!$B$3:$N$23,13,0)&lt;='TCO TO BE- SW'!$D106,SUM('TCO TO BE- SW'!R$37:R$46)*VLOOKUP('TCO TO BE- SW'!R$2,MODULY_CBA!$B$3:$L$23,10,0),0),0)</f>
        <v>0</v>
      </c>
      <c r="S106" s="586">
        <f>IFERROR(IF(VLOOKUP(S$2,MODULY_CBA!$B$3:$N$23,13,0)&lt;='TCO TO BE- SW'!$D106,SUM('TCO TO BE- SW'!S$37:S$46)*VLOOKUP('TCO TO BE- SW'!S$2,MODULY_CBA!$B$3:$L$23,10,0),0),0)</f>
        <v>0</v>
      </c>
      <c r="T106" s="586">
        <f>IFERROR(IF(VLOOKUP(T$2,MODULY_CBA!$B$3:$N$23,13,0)&lt;='TCO TO BE- SW'!$D106,SUM('TCO TO BE- SW'!T$37:T$46)*VLOOKUP('TCO TO BE- SW'!T$2,MODULY_CBA!$B$3:$L$23,10,0),0),0)</f>
        <v>0</v>
      </c>
      <c r="U106" s="586">
        <f>IFERROR(IF(VLOOKUP(U$2,MODULY_CBA!$B$3:$N$23,13,0)&lt;='TCO TO BE- SW'!$D106,SUM('TCO TO BE- SW'!U$37:U$46)*VLOOKUP('TCO TO BE- SW'!U$2,MODULY_CBA!$B$3:$L$23,10,0),0),0)</f>
        <v>0</v>
      </c>
      <c r="V106" s="586">
        <f>IFERROR(IF(VLOOKUP(V$2,MODULY_CBA!$B$3:$N$23,13,0)&lt;='TCO TO BE- SW'!$D106,SUM('TCO TO BE- SW'!V$37:V$46)*VLOOKUP('TCO TO BE- SW'!V$2,MODULY_CBA!$B$3:$L$23,10,0),0),0)</f>
        <v>0</v>
      </c>
      <c r="W106" s="586">
        <f>IFERROR(IF(VLOOKUP(W$2,MODULY_CBA!$B$3:$N$23,13,0)&lt;='TCO TO BE- SW'!$D106,SUM('TCO TO BE- SW'!W$37:W$46)*VLOOKUP('TCO TO BE- SW'!W$2,MODULY_CBA!$B$3:$L$23,10,0),0),0)</f>
        <v>0</v>
      </c>
      <c r="X106" s="586">
        <f>IFERROR(IF(VLOOKUP(X$2,MODULY_CBA!$B$3:$N$23,13,0)&lt;='TCO TO BE- SW'!$D106,SUM('TCO TO BE- SW'!X$37:X$46)*VLOOKUP('TCO TO BE- SW'!X$2,MODULY_CBA!$B$3:$L$23,10,0),0),0)</f>
        <v>0</v>
      </c>
      <c r="Y106" s="586">
        <f>IFERROR(IF(VLOOKUP(Y$2,MODULY_CBA!$B$3:$N$23,13,0)&lt;='TCO TO BE- SW'!$D106,SUM('TCO TO BE- SW'!Y$37:Y$46)*VLOOKUP('TCO TO BE- SW'!Y$2,MODULY_CBA!$B$3:$L$23,10,0),0),0)</f>
        <v>0</v>
      </c>
      <c r="Z106" s="586">
        <f>IFERROR(IF(VLOOKUP(Z$2,MODULY_CBA!$B$3:$N$23,13,0)&lt;='TCO TO BE- SW'!$D106,SUM('TCO TO BE- SW'!Z$37:Z$46)*VLOOKUP('TCO TO BE- SW'!Z$2,MODULY_CBA!$B$3:$L$23,10,0),0),0)</f>
        <v>0</v>
      </c>
    </row>
    <row r="107" spans="1:26" outlineLevel="2">
      <c r="A107" s="817"/>
      <c r="B107" s="818"/>
      <c r="C107" s="818"/>
      <c r="D107" s="64">
        <v>8</v>
      </c>
      <c r="E107" s="68">
        <f t="shared" si="14"/>
        <v>2369311.9742806</v>
      </c>
      <c r="F107" s="586">
        <f>IFERROR(IF(VLOOKUP(F$2,MODULY_CBA!$B$3:$N$23,13,0)&lt;='TCO TO BE- SW'!$D107,SUM('TCO TO BE- SW'!F$37:F$46)*VLOOKUP('TCO TO BE- SW'!F$2,MODULY_CBA!$B$3:$L$23,10,0),0),0)</f>
        <v>510194.28312966437</v>
      </c>
      <c r="G107" s="586">
        <f>IFERROR(IF(VLOOKUP(G$2,MODULY_CBA!$B$3:$N$23,13,0)&lt;='TCO TO BE- SW'!$D107,SUM('TCO TO BE- SW'!G$37:G$46)*VLOOKUP('TCO TO BE- SW'!G$2,MODULY_CBA!$B$3:$L$23,10,0),0),0)</f>
        <v>36059.739297712564</v>
      </c>
      <c r="H107" s="586">
        <f>IFERROR(IF(VLOOKUP(H$2,MODULY_CBA!$B$3:$N$23,13,0)&lt;='TCO TO BE- SW'!$D107,SUM('TCO TO BE- SW'!H$37:H$46)*VLOOKUP('TCO TO BE- SW'!H$2,MODULY_CBA!$B$3:$L$23,10,0),0),0)</f>
        <v>35209.273748238214</v>
      </c>
      <c r="I107" s="586">
        <f>IFERROR(IF(VLOOKUP(I$2,MODULY_CBA!$B$3:$N$23,13,0)&lt;='TCO TO BE- SW'!$D107,SUM('TCO TO BE- SW'!I$37:I$46)*VLOOKUP('TCO TO BE- SW'!I$2,MODULY_CBA!$B$3:$L$23,10,0),0),0)</f>
        <v>21091.545626963954</v>
      </c>
      <c r="J107" s="586">
        <f>IFERROR(IF(VLOOKUP(J$2,MODULY_CBA!$B$3:$N$23,13,0)&lt;='TCO TO BE- SW'!$D107,SUM('TCO TO BE- SW'!J$37:J$46)*VLOOKUP('TCO TO BE- SW'!J$2,MODULY_CBA!$B$3:$L$23,10,0),0),0)</f>
        <v>35209.273748238214</v>
      </c>
      <c r="K107" s="586">
        <f>IFERROR(IF(VLOOKUP(K$2,MODULY_CBA!$B$3:$N$23,13,0)&lt;='TCO TO BE- SW'!$D107,SUM('TCO TO BE- SW'!K$37:K$46)*VLOOKUP('TCO TO BE- SW'!K$2,MODULY_CBA!$B$3:$L$23,10,0),0),0)</f>
        <v>7058.8640606371282</v>
      </c>
      <c r="L107" s="586">
        <f>IFERROR(IF(VLOOKUP(L$2,MODULY_CBA!$B$3:$N$23,13,0)&lt;='TCO TO BE- SW'!$D107,SUM('TCO TO BE- SW'!L$37:L$46)*VLOOKUP('TCO TO BE- SW'!L$2,MODULY_CBA!$B$3:$L$23,10,0),0),0)</f>
        <v>815596.46194590454</v>
      </c>
      <c r="M107" s="586">
        <f>IFERROR(IF(VLOOKUP(M$2,MODULY_CBA!$B$3:$N$23,13,0)&lt;='TCO TO BE- SW'!$D107,SUM('TCO TO BE- SW'!M$37:M$46)*VLOOKUP('TCO TO BE- SW'!M$2,MODULY_CBA!$B$3:$L$23,10,0),0),0)</f>
        <v>163629.57171886551</v>
      </c>
      <c r="N107" s="586">
        <f>IFERROR(IF(VLOOKUP(N$2,MODULY_CBA!$B$3:$N$23,13,0)&lt;='TCO TO BE- SW'!$D107,SUM('TCO TO BE- SW'!N$37:N$46)*VLOOKUP('TCO TO BE- SW'!N$2,MODULY_CBA!$B$3:$L$23,10,0),0),0)</f>
        <v>80964.320309958406</v>
      </c>
      <c r="O107" s="586">
        <f>IFERROR(IF(VLOOKUP(O$2,MODULY_CBA!$B$3:$N$23,13,0)&lt;='TCO TO BE- SW'!$D107,SUM('TCO TO BE- SW'!O$37:O$46)*VLOOKUP('TCO TO BE- SW'!O$2,MODULY_CBA!$B$3:$L$23,10,0),0),0)</f>
        <v>664298.64069441694</v>
      </c>
      <c r="P107" s="586">
        <f>IFERROR(IF(VLOOKUP(P$2,MODULY_CBA!$B$3:$N$23,13,0)&lt;='TCO TO BE- SW'!$D107,SUM('TCO TO BE- SW'!P$37:P$46)*VLOOKUP('TCO TO BE- SW'!P$2,MODULY_CBA!$B$3:$L$23,10,0),0),0)</f>
        <v>0</v>
      </c>
      <c r="Q107" s="586">
        <f>IFERROR(IF(VLOOKUP(Q$2,MODULY_CBA!$B$3:$N$23,13,0)&lt;='TCO TO BE- SW'!$D107,SUM('TCO TO BE- SW'!Q$37:Q$46)*VLOOKUP('TCO TO BE- SW'!Q$2,MODULY_CBA!$B$3:$L$23,10,0),0),0)</f>
        <v>0</v>
      </c>
      <c r="R107" s="586">
        <f>IFERROR(IF(VLOOKUP(R$2,MODULY_CBA!$B$3:$N$23,13,0)&lt;='TCO TO BE- SW'!$D107,SUM('TCO TO BE- SW'!R$37:R$46)*VLOOKUP('TCO TO BE- SW'!R$2,MODULY_CBA!$B$3:$L$23,10,0),0),0)</f>
        <v>0</v>
      </c>
      <c r="S107" s="586">
        <f>IFERROR(IF(VLOOKUP(S$2,MODULY_CBA!$B$3:$N$23,13,0)&lt;='TCO TO BE- SW'!$D107,SUM('TCO TO BE- SW'!S$37:S$46)*VLOOKUP('TCO TO BE- SW'!S$2,MODULY_CBA!$B$3:$L$23,10,0),0),0)</f>
        <v>0</v>
      </c>
      <c r="T107" s="586">
        <f>IFERROR(IF(VLOOKUP(T$2,MODULY_CBA!$B$3:$N$23,13,0)&lt;='TCO TO BE- SW'!$D107,SUM('TCO TO BE- SW'!T$37:T$46)*VLOOKUP('TCO TO BE- SW'!T$2,MODULY_CBA!$B$3:$L$23,10,0),0),0)</f>
        <v>0</v>
      </c>
      <c r="U107" s="586">
        <f>IFERROR(IF(VLOOKUP(U$2,MODULY_CBA!$B$3:$N$23,13,0)&lt;='TCO TO BE- SW'!$D107,SUM('TCO TO BE- SW'!U$37:U$46)*VLOOKUP('TCO TO BE- SW'!U$2,MODULY_CBA!$B$3:$L$23,10,0),0),0)</f>
        <v>0</v>
      </c>
      <c r="V107" s="586">
        <f>IFERROR(IF(VLOOKUP(V$2,MODULY_CBA!$B$3:$N$23,13,0)&lt;='TCO TO BE- SW'!$D107,SUM('TCO TO BE- SW'!V$37:V$46)*VLOOKUP('TCO TO BE- SW'!V$2,MODULY_CBA!$B$3:$L$23,10,0),0),0)</f>
        <v>0</v>
      </c>
      <c r="W107" s="586">
        <f>IFERROR(IF(VLOOKUP(W$2,MODULY_CBA!$B$3:$N$23,13,0)&lt;='TCO TO BE- SW'!$D107,SUM('TCO TO BE- SW'!W$37:W$46)*VLOOKUP('TCO TO BE- SW'!W$2,MODULY_CBA!$B$3:$L$23,10,0),0),0)</f>
        <v>0</v>
      </c>
      <c r="X107" s="586">
        <f>IFERROR(IF(VLOOKUP(X$2,MODULY_CBA!$B$3:$N$23,13,0)&lt;='TCO TO BE- SW'!$D107,SUM('TCO TO BE- SW'!X$37:X$46)*VLOOKUP('TCO TO BE- SW'!X$2,MODULY_CBA!$B$3:$L$23,10,0),0),0)</f>
        <v>0</v>
      </c>
      <c r="Y107" s="586">
        <f>IFERROR(IF(VLOOKUP(Y$2,MODULY_CBA!$B$3:$N$23,13,0)&lt;='TCO TO BE- SW'!$D107,SUM('TCO TO BE- SW'!Y$37:Y$46)*VLOOKUP('TCO TO BE- SW'!Y$2,MODULY_CBA!$B$3:$L$23,10,0),0),0)</f>
        <v>0</v>
      </c>
      <c r="Z107" s="586">
        <f>IFERROR(IF(VLOOKUP(Z$2,MODULY_CBA!$B$3:$N$23,13,0)&lt;='TCO TO BE- SW'!$D107,SUM('TCO TO BE- SW'!Z$37:Z$46)*VLOOKUP('TCO TO BE- SW'!Z$2,MODULY_CBA!$B$3:$L$23,10,0),0),0)</f>
        <v>0</v>
      </c>
    </row>
    <row r="108" spans="1:26" outlineLevel="2">
      <c r="A108" s="817"/>
      <c r="B108" s="818"/>
      <c r="C108" s="818"/>
      <c r="D108" s="64">
        <v>9</v>
      </c>
      <c r="E108" s="68">
        <f t="shared" si="14"/>
        <v>2369311.9742806</v>
      </c>
      <c r="F108" s="586">
        <f>IFERROR(IF(VLOOKUP(F$2,MODULY_CBA!$B$3:$N$23,13,0)&lt;='TCO TO BE- SW'!$D108,SUM('TCO TO BE- SW'!F$37:F$46)*VLOOKUP('TCO TO BE- SW'!F$2,MODULY_CBA!$B$3:$L$23,10,0),0),0)</f>
        <v>510194.28312966437</v>
      </c>
      <c r="G108" s="586">
        <f>IFERROR(IF(VLOOKUP(G$2,MODULY_CBA!$B$3:$N$23,13,0)&lt;='TCO TO BE- SW'!$D108,SUM('TCO TO BE- SW'!G$37:G$46)*VLOOKUP('TCO TO BE- SW'!G$2,MODULY_CBA!$B$3:$L$23,10,0),0),0)</f>
        <v>36059.739297712564</v>
      </c>
      <c r="H108" s="586">
        <f>IFERROR(IF(VLOOKUP(H$2,MODULY_CBA!$B$3:$N$23,13,0)&lt;='TCO TO BE- SW'!$D108,SUM('TCO TO BE- SW'!H$37:H$46)*VLOOKUP('TCO TO BE- SW'!H$2,MODULY_CBA!$B$3:$L$23,10,0),0),0)</f>
        <v>35209.273748238214</v>
      </c>
      <c r="I108" s="586">
        <f>IFERROR(IF(VLOOKUP(I$2,MODULY_CBA!$B$3:$N$23,13,0)&lt;='TCO TO BE- SW'!$D108,SUM('TCO TO BE- SW'!I$37:I$46)*VLOOKUP('TCO TO BE- SW'!I$2,MODULY_CBA!$B$3:$L$23,10,0),0),0)</f>
        <v>21091.545626963954</v>
      </c>
      <c r="J108" s="586">
        <f>IFERROR(IF(VLOOKUP(J$2,MODULY_CBA!$B$3:$N$23,13,0)&lt;='TCO TO BE- SW'!$D108,SUM('TCO TO BE- SW'!J$37:J$46)*VLOOKUP('TCO TO BE- SW'!J$2,MODULY_CBA!$B$3:$L$23,10,0),0),0)</f>
        <v>35209.273748238214</v>
      </c>
      <c r="K108" s="586">
        <f>IFERROR(IF(VLOOKUP(K$2,MODULY_CBA!$B$3:$N$23,13,0)&lt;='TCO TO BE- SW'!$D108,SUM('TCO TO BE- SW'!K$37:K$46)*VLOOKUP('TCO TO BE- SW'!K$2,MODULY_CBA!$B$3:$L$23,10,0),0),0)</f>
        <v>7058.8640606371282</v>
      </c>
      <c r="L108" s="586">
        <f>IFERROR(IF(VLOOKUP(L$2,MODULY_CBA!$B$3:$N$23,13,0)&lt;='TCO TO BE- SW'!$D108,SUM('TCO TO BE- SW'!L$37:L$46)*VLOOKUP('TCO TO BE- SW'!L$2,MODULY_CBA!$B$3:$L$23,10,0),0),0)</f>
        <v>815596.46194590454</v>
      </c>
      <c r="M108" s="586">
        <f>IFERROR(IF(VLOOKUP(M$2,MODULY_CBA!$B$3:$N$23,13,0)&lt;='TCO TO BE- SW'!$D108,SUM('TCO TO BE- SW'!M$37:M$46)*VLOOKUP('TCO TO BE- SW'!M$2,MODULY_CBA!$B$3:$L$23,10,0),0),0)</f>
        <v>163629.57171886551</v>
      </c>
      <c r="N108" s="586">
        <f>IFERROR(IF(VLOOKUP(N$2,MODULY_CBA!$B$3:$N$23,13,0)&lt;='TCO TO BE- SW'!$D108,SUM('TCO TO BE- SW'!N$37:N$46)*VLOOKUP('TCO TO BE- SW'!N$2,MODULY_CBA!$B$3:$L$23,10,0),0),0)</f>
        <v>80964.320309958406</v>
      </c>
      <c r="O108" s="586">
        <f>IFERROR(IF(VLOOKUP(O$2,MODULY_CBA!$B$3:$N$23,13,0)&lt;='TCO TO BE- SW'!$D108,SUM('TCO TO BE- SW'!O$37:O$46)*VLOOKUP('TCO TO BE- SW'!O$2,MODULY_CBA!$B$3:$L$23,10,0),0),0)</f>
        <v>664298.64069441694</v>
      </c>
      <c r="P108" s="586">
        <f>IFERROR(IF(VLOOKUP(P$2,MODULY_CBA!$B$3:$N$23,13,0)&lt;='TCO TO BE- SW'!$D108,SUM('TCO TO BE- SW'!P$37:P$46)*VLOOKUP('TCO TO BE- SW'!P$2,MODULY_CBA!$B$3:$L$23,10,0),0),0)</f>
        <v>0</v>
      </c>
      <c r="Q108" s="586">
        <f>IFERROR(IF(VLOOKUP(Q$2,MODULY_CBA!$B$3:$N$23,13,0)&lt;='TCO TO BE- SW'!$D108,SUM('TCO TO BE- SW'!Q$37:Q$46)*VLOOKUP('TCO TO BE- SW'!Q$2,MODULY_CBA!$B$3:$L$23,10,0),0),0)</f>
        <v>0</v>
      </c>
      <c r="R108" s="586">
        <f>IFERROR(IF(VLOOKUP(R$2,MODULY_CBA!$B$3:$N$23,13,0)&lt;='TCO TO BE- SW'!$D108,SUM('TCO TO BE- SW'!R$37:R$46)*VLOOKUP('TCO TO BE- SW'!R$2,MODULY_CBA!$B$3:$L$23,10,0),0),0)</f>
        <v>0</v>
      </c>
      <c r="S108" s="586">
        <f>IFERROR(IF(VLOOKUP(S$2,MODULY_CBA!$B$3:$N$23,13,0)&lt;='TCO TO BE- SW'!$D108,SUM('TCO TO BE- SW'!S$37:S$46)*VLOOKUP('TCO TO BE- SW'!S$2,MODULY_CBA!$B$3:$L$23,10,0),0),0)</f>
        <v>0</v>
      </c>
      <c r="T108" s="586">
        <f>IFERROR(IF(VLOOKUP(T$2,MODULY_CBA!$B$3:$N$23,13,0)&lt;='TCO TO BE- SW'!$D108,SUM('TCO TO BE- SW'!T$37:T$46)*VLOOKUP('TCO TO BE- SW'!T$2,MODULY_CBA!$B$3:$L$23,10,0),0),0)</f>
        <v>0</v>
      </c>
      <c r="U108" s="586">
        <f>IFERROR(IF(VLOOKUP(U$2,MODULY_CBA!$B$3:$N$23,13,0)&lt;='TCO TO BE- SW'!$D108,SUM('TCO TO BE- SW'!U$37:U$46)*VLOOKUP('TCO TO BE- SW'!U$2,MODULY_CBA!$B$3:$L$23,10,0),0),0)</f>
        <v>0</v>
      </c>
      <c r="V108" s="586">
        <f>IFERROR(IF(VLOOKUP(V$2,MODULY_CBA!$B$3:$N$23,13,0)&lt;='TCO TO BE- SW'!$D108,SUM('TCO TO BE- SW'!V$37:V$46)*VLOOKUP('TCO TO BE- SW'!V$2,MODULY_CBA!$B$3:$L$23,10,0),0),0)</f>
        <v>0</v>
      </c>
      <c r="W108" s="586">
        <f>IFERROR(IF(VLOOKUP(W$2,MODULY_CBA!$B$3:$N$23,13,0)&lt;='TCO TO BE- SW'!$D108,SUM('TCO TO BE- SW'!W$37:W$46)*VLOOKUP('TCO TO BE- SW'!W$2,MODULY_CBA!$B$3:$L$23,10,0),0),0)</f>
        <v>0</v>
      </c>
      <c r="X108" s="586">
        <f>IFERROR(IF(VLOOKUP(X$2,MODULY_CBA!$B$3:$N$23,13,0)&lt;='TCO TO BE- SW'!$D108,SUM('TCO TO BE- SW'!X$37:X$46)*VLOOKUP('TCO TO BE- SW'!X$2,MODULY_CBA!$B$3:$L$23,10,0),0),0)</f>
        <v>0</v>
      </c>
      <c r="Y108" s="586">
        <f>IFERROR(IF(VLOOKUP(Y$2,MODULY_CBA!$B$3:$N$23,13,0)&lt;='TCO TO BE- SW'!$D108,SUM('TCO TO BE- SW'!Y$37:Y$46)*VLOOKUP('TCO TO BE- SW'!Y$2,MODULY_CBA!$B$3:$L$23,10,0),0),0)</f>
        <v>0</v>
      </c>
      <c r="Z108" s="586">
        <f>IFERROR(IF(VLOOKUP(Z$2,MODULY_CBA!$B$3:$N$23,13,0)&lt;='TCO TO BE- SW'!$D108,SUM('TCO TO BE- SW'!Z$37:Z$46)*VLOOKUP('TCO TO BE- SW'!Z$2,MODULY_CBA!$B$3:$L$23,10,0),0),0)</f>
        <v>0</v>
      </c>
    </row>
    <row r="109" spans="1:26" ht="15.75" outlineLevel="2" thickBot="1">
      <c r="A109" s="817"/>
      <c r="B109" s="818"/>
      <c r="C109" s="818"/>
      <c r="D109" s="65">
        <v>10</v>
      </c>
      <c r="E109" s="69">
        <f t="shared" si="14"/>
        <v>2369311.9742806</v>
      </c>
      <c r="F109" s="586">
        <f>IFERROR(IF(VLOOKUP(F$2,MODULY_CBA!$B$3:$N$23,13,0)&lt;='TCO TO BE- SW'!$D109,SUM('TCO TO BE- SW'!F$37:F$46)*VLOOKUP('TCO TO BE- SW'!F$2,MODULY_CBA!$B$3:$L$23,10,0),0),0)</f>
        <v>510194.28312966437</v>
      </c>
      <c r="G109" s="586">
        <f>IFERROR(IF(VLOOKUP(G$2,MODULY_CBA!$B$3:$N$23,13,0)&lt;='TCO TO BE- SW'!$D109,SUM('TCO TO BE- SW'!G$37:G$46)*VLOOKUP('TCO TO BE- SW'!G$2,MODULY_CBA!$B$3:$L$23,10,0),0),0)</f>
        <v>36059.739297712564</v>
      </c>
      <c r="H109" s="586">
        <f>IFERROR(IF(VLOOKUP(H$2,MODULY_CBA!$B$3:$N$23,13,0)&lt;='TCO TO BE- SW'!$D109,SUM('TCO TO BE- SW'!H$37:H$46)*VLOOKUP('TCO TO BE- SW'!H$2,MODULY_CBA!$B$3:$L$23,10,0),0),0)</f>
        <v>35209.273748238214</v>
      </c>
      <c r="I109" s="586">
        <f>IFERROR(IF(VLOOKUP(I$2,MODULY_CBA!$B$3:$N$23,13,0)&lt;='TCO TO BE- SW'!$D109,SUM('TCO TO BE- SW'!I$37:I$46)*VLOOKUP('TCO TO BE- SW'!I$2,MODULY_CBA!$B$3:$L$23,10,0),0),0)</f>
        <v>21091.545626963954</v>
      </c>
      <c r="J109" s="586">
        <f>IFERROR(IF(VLOOKUP(J$2,MODULY_CBA!$B$3:$N$23,13,0)&lt;='TCO TO BE- SW'!$D109,SUM('TCO TO BE- SW'!J$37:J$46)*VLOOKUP('TCO TO BE- SW'!J$2,MODULY_CBA!$B$3:$L$23,10,0),0),0)</f>
        <v>35209.273748238214</v>
      </c>
      <c r="K109" s="586">
        <f>IFERROR(IF(VLOOKUP(K$2,MODULY_CBA!$B$3:$N$23,13,0)&lt;='TCO TO BE- SW'!$D109,SUM('TCO TO BE- SW'!K$37:K$46)*VLOOKUP('TCO TO BE- SW'!K$2,MODULY_CBA!$B$3:$L$23,10,0),0),0)</f>
        <v>7058.8640606371282</v>
      </c>
      <c r="L109" s="586">
        <f>IFERROR(IF(VLOOKUP(L$2,MODULY_CBA!$B$3:$N$23,13,0)&lt;='TCO TO BE- SW'!$D109,SUM('TCO TO BE- SW'!L$37:L$46)*VLOOKUP('TCO TO BE- SW'!L$2,MODULY_CBA!$B$3:$L$23,10,0),0),0)</f>
        <v>815596.46194590454</v>
      </c>
      <c r="M109" s="586">
        <f>IFERROR(IF(VLOOKUP(M$2,MODULY_CBA!$B$3:$N$23,13,0)&lt;='TCO TO BE- SW'!$D109,SUM('TCO TO BE- SW'!M$37:M$46)*VLOOKUP('TCO TO BE- SW'!M$2,MODULY_CBA!$B$3:$L$23,10,0),0),0)</f>
        <v>163629.57171886551</v>
      </c>
      <c r="N109" s="586">
        <f>IFERROR(IF(VLOOKUP(N$2,MODULY_CBA!$B$3:$N$23,13,0)&lt;='TCO TO BE- SW'!$D109,SUM('TCO TO BE- SW'!N$37:N$46)*VLOOKUP('TCO TO BE- SW'!N$2,MODULY_CBA!$B$3:$L$23,10,0),0),0)</f>
        <v>80964.320309958406</v>
      </c>
      <c r="O109" s="586">
        <f>IFERROR(IF(VLOOKUP(O$2,MODULY_CBA!$B$3:$N$23,13,0)&lt;='TCO TO BE- SW'!$D109,SUM('TCO TO BE- SW'!O$37:O$46)*VLOOKUP('TCO TO BE- SW'!O$2,MODULY_CBA!$B$3:$L$23,10,0),0),0)</f>
        <v>664298.64069441694</v>
      </c>
      <c r="P109" s="586">
        <f>IFERROR(IF(VLOOKUP(P$2,MODULY_CBA!$B$3:$N$23,13,0)&lt;='TCO TO BE- SW'!$D109,SUM('TCO TO BE- SW'!P$37:P$46)*VLOOKUP('TCO TO BE- SW'!P$2,MODULY_CBA!$B$3:$L$23,10,0),0),0)</f>
        <v>0</v>
      </c>
      <c r="Q109" s="586">
        <f>IFERROR(IF(VLOOKUP(Q$2,MODULY_CBA!$B$3:$N$23,13,0)&lt;='TCO TO BE- SW'!$D109,SUM('TCO TO BE- SW'!Q$37:Q$46)*VLOOKUP('TCO TO BE- SW'!Q$2,MODULY_CBA!$B$3:$L$23,10,0),0),0)</f>
        <v>0</v>
      </c>
      <c r="R109" s="586">
        <f>IFERROR(IF(VLOOKUP(R$2,MODULY_CBA!$B$3:$N$23,13,0)&lt;='TCO TO BE- SW'!$D109,SUM('TCO TO BE- SW'!R$37:R$46)*VLOOKUP('TCO TO BE- SW'!R$2,MODULY_CBA!$B$3:$L$23,10,0),0),0)</f>
        <v>0</v>
      </c>
      <c r="S109" s="586">
        <f>IFERROR(IF(VLOOKUP(S$2,MODULY_CBA!$B$3:$N$23,13,0)&lt;='TCO TO BE- SW'!$D109,SUM('TCO TO BE- SW'!S$37:S$46)*VLOOKUP('TCO TO BE- SW'!S$2,MODULY_CBA!$B$3:$L$23,10,0),0),0)</f>
        <v>0</v>
      </c>
      <c r="T109" s="586">
        <f>IFERROR(IF(VLOOKUP(T$2,MODULY_CBA!$B$3:$N$23,13,0)&lt;='TCO TO BE- SW'!$D109,SUM('TCO TO BE- SW'!T$37:T$46)*VLOOKUP('TCO TO BE- SW'!T$2,MODULY_CBA!$B$3:$L$23,10,0),0),0)</f>
        <v>0</v>
      </c>
      <c r="U109" s="586">
        <f>IFERROR(IF(VLOOKUP(U$2,MODULY_CBA!$B$3:$N$23,13,0)&lt;='TCO TO BE- SW'!$D109,SUM('TCO TO BE- SW'!U$37:U$46)*VLOOKUP('TCO TO BE- SW'!U$2,MODULY_CBA!$B$3:$L$23,10,0),0),0)</f>
        <v>0</v>
      </c>
      <c r="V109" s="586">
        <f>IFERROR(IF(VLOOKUP(V$2,MODULY_CBA!$B$3:$N$23,13,0)&lt;='TCO TO BE- SW'!$D109,SUM('TCO TO BE- SW'!V$37:V$46)*VLOOKUP('TCO TO BE- SW'!V$2,MODULY_CBA!$B$3:$L$23,10,0),0),0)</f>
        <v>0</v>
      </c>
      <c r="W109" s="586">
        <f>IFERROR(IF(VLOOKUP(W$2,MODULY_CBA!$B$3:$N$23,13,0)&lt;='TCO TO BE- SW'!$D109,SUM('TCO TO BE- SW'!W$37:W$46)*VLOOKUP('TCO TO BE- SW'!W$2,MODULY_CBA!$B$3:$L$23,10,0),0),0)</f>
        <v>0</v>
      </c>
      <c r="X109" s="586">
        <f>IFERROR(IF(VLOOKUP(X$2,MODULY_CBA!$B$3:$N$23,13,0)&lt;='TCO TO BE- SW'!$D109,SUM('TCO TO BE- SW'!X$37:X$46)*VLOOKUP('TCO TO BE- SW'!X$2,MODULY_CBA!$B$3:$L$23,10,0),0),0)</f>
        <v>0</v>
      </c>
      <c r="Y109" s="586">
        <f>IFERROR(IF(VLOOKUP(Y$2,MODULY_CBA!$B$3:$N$23,13,0)&lt;='TCO TO BE- SW'!$D109,SUM('TCO TO BE- SW'!Y$37:Y$46)*VLOOKUP('TCO TO BE- SW'!Y$2,MODULY_CBA!$B$3:$L$23,10,0),0),0)</f>
        <v>0</v>
      </c>
      <c r="Z109" s="586">
        <f>IFERROR(IF(VLOOKUP(Z$2,MODULY_CBA!$B$3:$N$23,13,0)&lt;='TCO TO BE- SW'!$D109,SUM('TCO TO BE- SW'!Z$37:Z$46)*VLOOKUP('TCO TO BE- SW'!Z$2,MODULY_CBA!$B$3:$L$23,10,0),0),0)</f>
        <v>0</v>
      </c>
    </row>
    <row r="110" spans="1:26" outlineLevel="2">
      <c r="A110" s="817" t="s">
        <v>1501</v>
      </c>
      <c r="B110" s="818" t="s">
        <v>1497</v>
      </c>
      <c r="C110" s="818">
        <v>635009</v>
      </c>
      <c r="D110" s="63">
        <v>1</v>
      </c>
      <c r="E110" s="68">
        <f t="shared" si="14"/>
        <v>0</v>
      </c>
      <c r="F110" s="576">
        <v>0</v>
      </c>
      <c r="G110" s="576">
        <v>0</v>
      </c>
      <c r="H110" s="576">
        <v>0</v>
      </c>
      <c r="I110" s="576">
        <v>0</v>
      </c>
      <c r="J110" s="576">
        <v>0</v>
      </c>
      <c r="K110" s="576">
        <v>0</v>
      </c>
      <c r="L110" s="576">
        <v>0</v>
      </c>
      <c r="M110" s="576">
        <v>0</v>
      </c>
      <c r="N110" s="576">
        <v>0</v>
      </c>
      <c r="O110" s="576">
        <v>0</v>
      </c>
      <c r="P110" s="576">
        <v>0</v>
      </c>
      <c r="Q110" s="576">
        <v>0</v>
      </c>
      <c r="R110" s="576">
        <v>0</v>
      </c>
      <c r="S110" s="576">
        <v>0</v>
      </c>
      <c r="T110" s="576">
        <v>0</v>
      </c>
      <c r="U110" s="576">
        <v>0</v>
      </c>
      <c r="V110" s="576">
        <v>0</v>
      </c>
      <c r="W110" s="576">
        <v>0</v>
      </c>
      <c r="X110" s="576">
        <v>0</v>
      </c>
      <c r="Y110" s="576">
        <v>0</v>
      </c>
      <c r="Z110" s="576">
        <v>0</v>
      </c>
    </row>
    <row r="111" spans="1:26" outlineLevel="2">
      <c r="A111" s="817"/>
      <c r="B111" s="818"/>
      <c r="C111" s="818"/>
      <c r="D111" s="64">
        <v>2</v>
      </c>
      <c r="E111" s="68">
        <f t="shared" si="14"/>
        <v>0</v>
      </c>
      <c r="F111" s="577">
        <v>0</v>
      </c>
      <c r="G111" s="577">
        <v>0</v>
      </c>
      <c r="H111" s="577">
        <v>0</v>
      </c>
      <c r="I111" s="577">
        <v>0</v>
      </c>
      <c r="J111" s="577">
        <v>0</v>
      </c>
      <c r="K111" s="577">
        <v>0</v>
      </c>
      <c r="L111" s="577">
        <v>0</v>
      </c>
      <c r="M111" s="577">
        <v>0</v>
      </c>
      <c r="N111" s="577">
        <v>0</v>
      </c>
      <c r="O111" s="577">
        <v>0</v>
      </c>
      <c r="P111" s="577">
        <v>0</v>
      </c>
      <c r="Q111" s="577">
        <v>0</v>
      </c>
      <c r="R111" s="577">
        <v>0</v>
      </c>
      <c r="S111" s="577">
        <v>0</v>
      </c>
      <c r="T111" s="577">
        <v>0</v>
      </c>
      <c r="U111" s="577">
        <v>0</v>
      </c>
      <c r="V111" s="577">
        <v>0</v>
      </c>
      <c r="W111" s="577">
        <v>0</v>
      </c>
      <c r="X111" s="577">
        <v>0</v>
      </c>
      <c r="Y111" s="577">
        <v>0</v>
      </c>
      <c r="Z111" s="577">
        <v>0</v>
      </c>
    </row>
    <row r="112" spans="1:26" outlineLevel="2">
      <c r="A112" s="817"/>
      <c r="B112" s="818"/>
      <c r="C112" s="818"/>
      <c r="D112" s="64">
        <v>3</v>
      </c>
      <c r="E112" s="68">
        <f t="shared" si="14"/>
        <v>0</v>
      </c>
      <c r="F112" s="577">
        <v>0</v>
      </c>
      <c r="G112" s="577">
        <v>0</v>
      </c>
      <c r="H112" s="577">
        <v>0</v>
      </c>
      <c r="I112" s="577">
        <v>0</v>
      </c>
      <c r="J112" s="577">
        <v>0</v>
      </c>
      <c r="K112" s="577">
        <v>0</v>
      </c>
      <c r="L112" s="577">
        <v>0</v>
      </c>
      <c r="M112" s="577">
        <v>0</v>
      </c>
      <c r="N112" s="577">
        <v>0</v>
      </c>
      <c r="O112" s="577">
        <v>0</v>
      </c>
      <c r="P112" s="577">
        <v>0</v>
      </c>
      <c r="Q112" s="577">
        <v>0</v>
      </c>
      <c r="R112" s="577">
        <v>0</v>
      </c>
      <c r="S112" s="577">
        <v>0</v>
      </c>
      <c r="T112" s="577">
        <v>0</v>
      </c>
      <c r="U112" s="577">
        <v>0</v>
      </c>
      <c r="V112" s="577">
        <v>0</v>
      </c>
      <c r="W112" s="577">
        <v>0</v>
      </c>
      <c r="X112" s="577">
        <v>0</v>
      </c>
      <c r="Y112" s="577">
        <v>0</v>
      </c>
      <c r="Z112" s="577">
        <v>0</v>
      </c>
    </row>
    <row r="113" spans="1:26" outlineLevel="2">
      <c r="A113" s="817"/>
      <c r="B113" s="818"/>
      <c r="C113" s="818"/>
      <c r="D113" s="64">
        <v>4</v>
      </c>
      <c r="E113" s="68">
        <f t="shared" si="14"/>
        <v>0</v>
      </c>
      <c r="F113" s="577">
        <v>0</v>
      </c>
      <c r="G113" s="577">
        <v>0</v>
      </c>
      <c r="H113" s="577">
        <v>0</v>
      </c>
      <c r="I113" s="577">
        <v>0</v>
      </c>
      <c r="J113" s="577">
        <v>0</v>
      </c>
      <c r="K113" s="577">
        <v>0</v>
      </c>
      <c r="L113" s="577">
        <v>0</v>
      </c>
      <c r="M113" s="577">
        <v>0</v>
      </c>
      <c r="N113" s="577">
        <v>0</v>
      </c>
      <c r="O113" s="577">
        <v>0</v>
      </c>
      <c r="P113" s="577">
        <v>0</v>
      </c>
      <c r="Q113" s="577">
        <v>0</v>
      </c>
      <c r="R113" s="577">
        <v>0</v>
      </c>
      <c r="S113" s="577">
        <v>0</v>
      </c>
      <c r="T113" s="577">
        <v>0</v>
      </c>
      <c r="U113" s="577">
        <v>0</v>
      </c>
      <c r="V113" s="577">
        <v>0</v>
      </c>
      <c r="W113" s="577">
        <v>0</v>
      </c>
      <c r="X113" s="577">
        <v>0</v>
      </c>
      <c r="Y113" s="577">
        <v>0</v>
      </c>
      <c r="Z113" s="577">
        <v>0</v>
      </c>
    </row>
    <row r="114" spans="1:26" outlineLevel="2">
      <c r="A114" s="817"/>
      <c r="B114" s="818"/>
      <c r="C114" s="818"/>
      <c r="D114" s="64">
        <v>5</v>
      </c>
      <c r="E114" s="68">
        <f t="shared" si="14"/>
        <v>0</v>
      </c>
      <c r="F114" s="577">
        <v>0</v>
      </c>
      <c r="G114" s="577">
        <v>0</v>
      </c>
      <c r="H114" s="577">
        <v>0</v>
      </c>
      <c r="I114" s="577">
        <v>0</v>
      </c>
      <c r="J114" s="577">
        <v>0</v>
      </c>
      <c r="K114" s="577">
        <v>0</v>
      </c>
      <c r="L114" s="577">
        <v>0</v>
      </c>
      <c r="M114" s="577">
        <v>0</v>
      </c>
      <c r="N114" s="577">
        <v>0</v>
      </c>
      <c r="O114" s="577">
        <v>0</v>
      </c>
      <c r="P114" s="577">
        <v>0</v>
      </c>
      <c r="Q114" s="577">
        <v>0</v>
      </c>
      <c r="R114" s="577">
        <v>0</v>
      </c>
      <c r="S114" s="577">
        <v>0</v>
      </c>
      <c r="T114" s="577">
        <v>0</v>
      </c>
      <c r="U114" s="577">
        <v>0</v>
      </c>
      <c r="V114" s="577">
        <v>0</v>
      </c>
      <c r="W114" s="577">
        <v>0</v>
      </c>
      <c r="X114" s="577">
        <v>0</v>
      </c>
      <c r="Y114" s="577">
        <v>0</v>
      </c>
      <c r="Z114" s="577">
        <v>0</v>
      </c>
    </row>
    <row r="115" spans="1:26" outlineLevel="2">
      <c r="A115" s="817"/>
      <c r="B115" s="818"/>
      <c r="C115" s="818"/>
      <c r="D115" s="64">
        <v>6</v>
      </c>
      <c r="E115" s="68">
        <f t="shared" si="14"/>
        <v>0</v>
      </c>
      <c r="F115" s="577">
        <v>0</v>
      </c>
      <c r="G115" s="577">
        <v>0</v>
      </c>
      <c r="H115" s="577">
        <v>0</v>
      </c>
      <c r="I115" s="577">
        <v>0</v>
      </c>
      <c r="J115" s="577">
        <v>0</v>
      </c>
      <c r="K115" s="577">
        <v>0</v>
      </c>
      <c r="L115" s="577">
        <v>0</v>
      </c>
      <c r="M115" s="577">
        <v>0</v>
      </c>
      <c r="N115" s="577">
        <v>0</v>
      </c>
      <c r="O115" s="577">
        <v>0</v>
      </c>
      <c r="P115" s="577">
        <v>0</v>
      </c>
      <c r="Q115" s="577">
        <v>0</v>
      </c>
      <c r="R115" s="577">
        <v>0</v>
      </c>
      <c r="S115" s="577">
        <v>0</v>
      </c>
      <c r="T115" s="577">
        <v>0</v>
      </c>
      <c r="U115" s="577">
        <v>0</v>
      </c>
      <c r="V115" s="577">
        <v>0</v>
      </c>
      <c r="W115" s="577">
        <v>0</v>
      </c>
      <c r="X115" s="577">
        <v>0</v>
      </c>
      <c r="Y115" s="577">
        <v>0</v>
      </c>
      <c r="Z115" s="577">
        <v>0</v>
      </c>
    </row>
    <row r="116" spans="1:26" outlineLevel="2">
      <c r="A116" s="817"/>
      <c r="B116" s="818"/>
      <c r="C116" s="818"/>
      <c r="D116" s="64">
        <v>7</v>
      </c>
      <c r="E116" s="68">
        <f t="shared" si="14"/>
        <v>0</v>
      </c>
      <c r="F116" s="577">
        <v>0</v>
      </c>
      <c r="G116" s="577">
        <v>0</v>
      </c>
      <c r="H116" s="577">
        <v>0</v>
      </c>
      <c r="I116" s="577">
        <v>0</v>
      </c>
      <c r="J116" s="577">
        <v>0</v>
      </c>
      <c r="K116" s="577">
        <v>0</v>
      </c>
      <c r="L116" s="577">
        <v>0</v>
      </c>
      <c r="M116" s="577">
        <v>0</v>
      </c>
      <c r="N116" s="577">
        <v>0</v>
      </c>
      <c r="O116" s="577">
        <v>0</v>
      </c>
      <c r="P116" s="577">
        <v>0</v>
      </c>
      <c r="Q116" s="577">
        <v>0</v>
      </c>
      <c r="R116" s="577">
        <v>0</v>
      </c>
      <c r="S116" s="577">
        <v>0</v>
      </c>
      <c r="T116" s="577">
        <v>0</v>
      </c>
      <c r="U116" s="577">
        <v>0</v>
      </c>
      <c r="V116" s="577">
        <v>0</v>
      </c>
      <c r="W116" s="577">
        <v>0</v>
      </c>
      <c r="X116" s="577">
        <v>0</v>
      </c>
      <c r="Y116" s="577">
        <v>0</v>
      </c>
      <c r="Z116" s="577">
        <v>0</v>
      </c>
    </row>
    <row r="117" spans="1:26" outlineLevel="2">
      <c r="A117" s="817"/>
      <c r="B117" s="818"/>
      <c r="C117" s="818"/>
      <c r="D117" s="64">
        <v>8</v>
      </c>
      <c r="E117" s="68">
        <f t="shared" si="14"/>
        <v>0</v>
      </c>
      <c r="F117" s="577">
        <v>0</v>
      </c>
      <c r="G117" s="577">
        <v>0</v>
      </c>
      <c r="H117" s="577">
        <v>0</v>
      </c>
      <c r="I117" s="577">
        <v>0</v>
      </c>
      <c r="J117" s="577">
        <v>0</v>
      </c>
      <c r="K117" s="577">
        <v>0</v>
      </c>
      <c r="L117" s="577">
        <v>0</v>
      </c>
      <c r="M117" s="577">
        <v>0</v>
      </c>
      <c r="N117" s="577">
        <v>0</v>
      </c>
      <c r="O117" s="577">
        <v>0</v>
      </c>
      <c r="P117" s="577">
        <v>0</v>
      </c>
      <c r="Q117" s="577">
        <v>0</v>
      </c>
      <c r="R117" s="577">
        <v>0</v>
      </c>
      <c r="S117" s="577">
        <v>0</v>
      </c>
      <c r="T117" s="577">
        <v>0</v>
      </c>
      <c r="U117" s="577">
        <v>0</v>
      </c>
      <c r="V117" s="577">
        <v>0</v>
      </c>
      <c r="W117" s="577">
        <v>0</v>
      </c>
      <c r="X117" s="577">
        <v>0</v>
      </c>
      <c r="Y117" s="577">
        <v>0</v>
      </c>
      <c r="Z117" s="577">
        <v>0</v>
      </c>
    </row>
    <row r="118" spans="1:26" outlineLevel="2">
      <c r="A118" s="817"/>
      <c r="B118" s="818"/>
      <c r="C118" s="818"/>
      <c r="D118" s="64">
        <v>9</v>
      </c>
      <c r="E118" s="68">
        <f t="shared" si="14"/>
        <v>0</v>
      </c>
      <c r="F118" s="577">
        <v>0</v>
      </c>
      <c r="G118" s="577">
        <v>0</v>
      </c>
      <c r="H118" s="577">
        <v>0</v>
      </c>
      <c r="I118" s="577">
        <v>0</v>
      </c>
      <c r="J118" s="577">
        <v>0</v>
      </c>
      <c r="K118" s="577">
        <v>0</v>
      </c>
      <c r="L118" s="577">
        <v>0</v>
      </c>
      <c r="M118" s="577">
        <v>0</v>
      </c>
      <c r="N118" s="577">
        <v>0</v>
      </c>
      <c r="O118" s="577">
        <v>0</v>
      </c>
      <c r="P118" s="577">
        <v>0</v>
      </c>
      <c r="Q118" s="577">
        <v>0</v>
      </c>
      <c r="R118" s="577">
        <v>0</v>
      </c>
      <c r="S118" s="577">
        <v>0</v>
      </c>
      <c r="T118" s="577">
        <v>0</v>
      </c>
      <c r="U118" s="577">
        <v>0</v>
      </c>
      <c r="V118" s="577">
        <v>0</v>
      </c>
      <c r="W118" s="577">
        <v>0</v>
      </c>
      <c r="X118" s="577">
        <v>0</v>
      </c>
      <c r="Y118" s="577">
        <v>0</v>
      </c>
      <c r="Z118" s="577">
        <v>0</v>
      </c>
    </row>
    <row r="119" spans="1:26" ht="15.75" outlineLevel="2" thickBot="1">
      <c r="A119" s="817"/>
      <c r="B119" s="818"/>
      <c r="C119" s="818"/>
      <c r="D119" s="65">
        <v>10</v>
      </c>
      <c r="E119" s="69">
        <f t="shared" si="14"/>
        <v>0</v>
      </c>
      <c r="F119" s="581">
        <v>0</v>
      </c>
      <c r="G119" s="581">
        <v>0</v>
      </c>
      <c r="H119" s="581">
        <v>0</v>
      </c>
      <c r="I119" s="581">
        <v>0</v>
      </c>
      <c r="J119" s="581">
        <v>0</v>
      </c>
      <c r="K119" s="581">
        <v>0</v>
      </c>
      <c r="L119" s="581">
        <v>0</v>
      </c>
      <c r="M119" s="581">
        <v>0</v>
      </c>
      <c r="N119" s="581">
        <v>0</v>
      </c>
      <c r="O119" s="581">
        <v>0</v>
      </c>
      <c r="P119" s="581">
        <v>0</v>
      </c>
      <c r="Q119" s="581">
        <v>0</v>
      </c>
      <c r="R119" s="581">
        <v>0</v>
      </c>
      <c r="S119" s="581">
        <v>0</v>
      </c>
      <c r="T119" s="581">
        <v>0</v>
      </c>
      <c r="U119" s="581">
        <v>0</v>
      </c>
      <c r="V119" s="581">
        <v>0</v>
      </c>
      <c r="W119" s="581">
        <v>0</v>
      </c>
      <c r="X119" s="581">
        <v>0</v>
      </c>
      <c r="Y119" s="581">
        <v>0</v>
      </c>
      <c r="Z119" s="581">
        <v>0</v>
      </c>
    </row>
    <row r="120" spans="1:26" outlineLevel="2">
      <c r="A120" s="817" t="s">
        <v>1502</v>
      </c>
      <c r="B120" s="818" t="s">
        <v>1499</v>
      </c>
      <c r="C120" s="818">
        <v>718006</v>
      </c>
      <c r="D120" s="63">
        <v>1</v>
      </c>
      <c r="E120" s="68">
        <f t="shared" si="14"/>
        <v>0</v>
      </c>
      <c r="F120" s="586">
        <f>IFERROR(IF(VLOOKUP(F$2,MODULY_CBA!$B$3:$N$23,13,0)&lt;='TCO TO BE- SW'!$D120,SUM('TCO TO BE- SW'!F$37:F$46)*VLOOKUP('TCO TO BE- SW'!F$2,MODULY_CBA!$B$3:$L$23,11,0),0),0)</f>
        <v>0</v>
      </c>
      <c r="G120" s="586">
        <f>IFERROR(IF(VLOOKUP(G$2,MODULY_CBA!$B$3:$N$23,13,0)&lt;='TCO TO BE- SW'!$D120,SUM('TCO TO BE- SW'!G$37:G$46)*VLOOKUP('TCO TO BE- SW'!G$2,MODULY_CBA!$B$3:$L$23,11,0),0),0)</f>
        <v>0</v>
      </c>
      <c r="H120" s="586">
        <f>IFERROR(IF(VLOOKUP(H$2,MODULY_CBA!$B$3:$N$23,13,0)&lt;='TCO TO BE- SW'!$D120,SUM('TCO TO BE- SW'!H$37:H$46)*VLOOKUP('TCO TO BE- SW'!H$2,MODULY_CBA!$B$3:$L$23,11,0),0),0)</f>
        <v>0</v>
      </c>
      <c r="I120" s="586">
        <f>IFERROR(IF(VLOOKUP(I$2,MODULY_CBA!$B$3:$N$23,13,0)&lt;='TCO TO BE- SW'!$D120,SUM('TCO TO BE- SW'!I$37:I$46)*VLOOKUP('TCO TO BE- SW'!I$2,MODULY_CBA!$B$3:$L$23,11,0),0),0)</f>
        <v>0</v>
      </c>
      <c r="J120" s="586">
        <f>IFERROR(IF(VLOOKUP(J$2,MODULY_CBA!$B$3:$N$23,13,0)&lt;='TCO TO BE- SW'!$D120,SUM('TCO TO BE- SW'!J$37:J$46)*VLOOKUP('TCO TO BE- SW'!J$2,MODULY_CBA!$B$3:$L$23,11,0),0),0)</f>
        <v>0</v>
      </c>
      <c r="K120" s="586">
        <f>IFERROR(IF(VLOOKUP(K$2,MODULY_CBA!$B$3:$N$23,13,0)&lt;='TCO TO BE- SW'!$D120,SUM('TCO TO BE- SW'!K$37:K$46)*VLOOKUP('TCO TO BE- SW'!K$2,MODULY_CBA!$B$3:$L$23,11,0),0),0)</f>
        <v>0</v>
      </c>
      <c r="L120" s="586">
        <f>IFERROR(IF(VLOOKUP(L$2,MODULY_CBA!$B$3:$N$23,13,0)&lt;='TCO TO BE- SW'!$D120,SUM('TCO TO BE- SW'!L$37:L$46)*VLOOKUP('TCO TO BE- SW'!L$2,MODULY_CBA!$B$3:$L$23,11,0),0),0)</f>
        <v>0</v>
      </c>
      <c r="M120" s="586">
        <f>IFERROR(IF(VLOOKUP(M$2,MODULY_CBA!$B$3:$N$23,13,0)&lt;='TCO TO BE- SW'!$D120,SUM('TCO TO BE- SW'!M$37:M$46)*VLOOKUP('TCO TO BE- SW'!M$2,MODULY_CBA!$B$3:$L$23,11,0),0),0)</f>
        <v>0</v>
      </c>
      <c r="N120" s="586">
        <f>IFERROR(IF(VLOOKUP(N$2,MODULY_CBA!$B$3:$N$23,13,0)&lt;='TCO TO BE- SW'!$D120,SUM('TCO TO BE- SW'!N$37:N$46)*VLOOKUP('TCO TO BE- SW'!N$2,MODULY_CBA!$B$3:$L$23,11,0),0),0)</f>
        <v>0</v>
      </c>
      <c r="O120" s="586">
        <f>IFERROR(IF(VLOOKUP(O$2,MODULY_CBA!$B$3:$N$23,13,0)&lt;='TCO TO BE- SW'!$D120,SUM('TCO TO BE- SW'!O$37:O$46)*VLOOKUP('TCO TO BE- SW'!O$2,MODULY_CBA!$B$3:$L$23,11,0),0),0)</f>
        <v>0</v>
      </c>
      <c r="P120" s="586">
        <f>IFERROR(IF(VLOOKUP(P$2,MODULY_CBA!$B$3:$N$23,13,0)&lt;='TCO TO BE- SW'!$D120,SUM('TCO TO BE- SW'!P$37:P$46)*VLOOKUP('TCO TO BE- SW'!P$2,MODULY_CBA!$B$3:$L$23,11,0),0),0)</f>
        <v>0</v>
      </c>
      <c r="Q120" s="586">
        <f>IFERROR(IF(VLOOKUP(Q$2,MODULY_CBA!$B$3:$N$23,13,0)&lt;='TCO TO BE- SW'!$D120,SUM('TCO TO BE- SW'!Q$37:Q$46)*VLOOKUP('TCO TO BE- SW'!Q$2,MODULY_CBA!$B$3:$L$23,11,0),0),0)</f>
        <v>0</v>
      </c>
      <c r="R120" s="586">
        <f>IFERROR(IF(VLOOKUP(R$2,MODULY_CBA!$B$3:$N$23,13,0)&lt;='TCO TO BE- SW'!$D120,SUM('TCO TO BE- SW'!R$37:R$46)*VLOOKUP('TCO TO BE- SW'!R$2,MODULY_CBA!$B$3:$L$23,11,0),0),0)</f>
        <v>0</v>
      </c>
      <c r="S120" s="586">
        <f>IFERROR(IF(VLOOKUP(S$2,MODULY_CBA!$B$3:$N$23,13,0)&lt;='TCO TO BE- SW'!$D120,SUM('TCO TO BE- SW'!S$37:S$46)*VLOOKUP('TCO TO BE- SW'!S$2,MODULY_CBA!$B$3:$L$23,11,0),0),0)</f>
        <v>0</v>
      </c>
      <c r="T120" s="586">
        <f>IFERROR(IF(VLOOKUP(T$2,MODULY_CBA!$B$3:$N$23,13,0)&lt;='TCO TO BE- SW'!$D120,SUM('TCO TO BE- SW'!T$37:T$46)*VLOOKUP('TCO TO BE- SW'!T$2,MODULY_CBA!$B$3:$L$23,11,0),0),0)</f>
        <v>0</v>
      </c>
      <c r="U120" s="586">
        <f>IFERROR(IF(VLOOKUP(U$2,MODULY_CBA!$B$3:$N$23,13,0)&lt;='TCO TO BE- SW'!$D120,SUM('TCO TO BE- SW'!U$37:U$46)*VLOOKUP('TCO TO BE- SW'!U$2,MODULY_CBA!$B$3:$L$23,11,0),0),0)</f>
        <v>0</v>
      </c>
      <c r="V120" s="586">
        <f>IFERROR(IF(VLOOKUP(V$2,MODULY_CBA!$B$3:$N$23,13,0)&lt;='TCO TO BE- SW'!$D120,SUM('TCO TO BE- SW'!V$37:V$46)*VLOOKUP('TCO TO BE- SW'!V$2,MODULY_CBA!$B$3:$L$23,11,0),0),0)</f>
        <v>0</v>
      </c>
      <c r="W120" s="586">
        <f>IFERROR(IF(VLOOKUP(W$2,MODULY_CBA!$B$3:$N$23,13,0)&lt;='TCO TO BE- SW'!$D120,SUM('TCO TO BE- SW'!W$37:W$46)*VLOOKUP('TCO TO BE- SW'!W$2,MODULY_CBA!$B$3:$L$23,11,0),0),0)</f>
        <v>0</v>
      </c>
      <c r="X120" s="586">
        <f>IFERROR(IF(VLOOKUP(X$2,MODULY_CBA!$B$3:$N$23,13,0)&lt;='TCO TO BE- SW'!$D120,SUM('TCO TO BE- SW'!X$37:X$46)*VLOOKUP('TCO TO BE- SW'!X$2,MODULY_CBA!$B$3:$L$23,11,0),0),0)</f>
        <v>0</v>
      </c>
      <c r="Y120" s="586">
        <f>IFERROR(IF(VLOOKUP(Y$2,MODULY_CBA!$B$3:$N$23,13,0)&lt;='TCO TO BE- SW'!$D120,SUM('TCO TO BE- SW'!Y$37:Y$46)*VLOOKUP('TCO TO BE- SW'!Y$2,MODULY_CBA!$B$3:$L$23,11,0),0),0)</f>
        <v>0</v>
      </c>
      <c r="Z120" s="586">
        <f>IFERROR(IF(VLOOKUP(Z$2,MODULY_CBA!$B$3:$N$23,13,0)&lt;='TCO TO BE- SW'!$D120,SUM('TCO TO BE- SW'!Z$37:Z$46)*VLOOKUP('TCO TO BE- SW'!Z$2,MODULY_CBA!$B$3:$L$23,11,0),0),0)</f>
        <v>0</v>
      </c>
    </row>
    <row r="121" spans="1:26" outlineLevel="2">
      <c r="A121" s="817"/>
      <c r="B121" s="818"/>
      <c r="C121" s="818"/>
      <c r="D121" s="64">
        <v>2</v>
      </c>
      <c r="E121" s="68">
        <f t="shared" si="14"/>
        <v>859763.97281527263</v>
      </c>
      <c r="F121" s="586">
        <f>IFERROR(IF(VLOOKUP(F$2,MODULY_CBA!$B$3:$N$23,13,0)&lt;='TCO TO BE- SW'!$D121,SUM('TCO TO BE- SW'!F$37:F$46)*VLOOKUP('TCO TO BE- SW'!F$2,MODULY_CBA!$B$3:$L$23,11,0),0),0)</f>
        <v>680259.04417288583</v>
      </c>
      <c r="G121" s="586">
        <f>IFERROR(IF(VLOOKUP(G$2,MODULY_CBA!$B$3:$N$23,13,0)&lt;='TCO TO BE- SW'!$D121,SUM('TCO TO BE- SW'!G$37:G$46)*VLOOKUP('TCO TO BE- SW'!G$2,MODULY_CBA!$B$3:$L$23,11,0),0),0)</f>
        <v>48079.652396950092</v>
      </c>
      <c r="H121" s="586">
        <f>IFERROR(IF(VLOOKUP(H$2,MODULY_CBA!$B$3:$N$23,13,0)&lt;='TCO TO BE- SW'!$D121,SUM('TCO TO BE- SW'!H$37:H$46)*VLOOKUP('TCO TO BE- SW'!H$2,MODULY_CBA!$B$3:$L$23,11,0),0),0)</f>
        <v>46945.698330984291</v>
      </c>
      <c r="I121" s="586">
        <f>IFERROR(IF(VLOOKUP(I$2,MODULY_CBA!$B$3:$N$23,13,0)&lt;='TCO TO BE- SW'!$D121,SUM('TCO TO BE- SW'!I$37:I$46)*VLOOKUP('TCO TO BE- SW'!I$2,MODULY_CBA!$B$3:$L$23,11,0),0),0)</f>
        <v>28122.060835951939</v>
      </c>
      <c r="J121" s="586">
        <f>IFERROR(IF(VLOOKUP(J$2,MODULY_CBA!$B$3:$N$23,13,0)&lt;='TCO TO BE- SW'!$D121,SUM('TCO TO BE- SW'!J$37:J$46)*VLOOKUP('TCO TO BE- SW'!J$2,MODULY_CBA!$B$3:$L$23,11,0),0),0)</f>
        <v>46945.698330984291</v>
      </c>
      <c r="K121" s="586">
        <f>IFERROR(IF(VLOOKUP(K$2,MODULY_CBA!$B$3:$N$23,13,0)&lt;='TCO TO BE- SW'!$D121,SUM('TCO TO BE- SW'!K$37:K$46)*VLOOKUP('TCO TO BE- SW'!K$2,MODULY_CBA!$B$3:$L$23,11,0),0),0)</f>
        <v>9411.8187475161722</v>
      </c>
      <c r="L121" s="586">
        <f>IFERROR(IF(VLOOKUP(L$2,MODULY_CBA!$B$3:$N$23,13,0)&lt;='TCO TO BE- SW'!$D121,SUM('TCO TO BE- SW'!L$37:L$46)*VLOOKUP('TCO TO BE- SW'!L$2,MODULY_CBA!$B$3:$L$23,11,0),0),0)</f>
        <v>0</v>
      </c>
      <c r="M121" s="586">
        <f>IFERROR(IF(VLOOKUP(M$2,MODULY_CBA!$B$3:$N$23,13,0)&lt;='TCO TO BE- SW'!$D121,SUM('TCO TO BE- SW'!M$37:M$46)*VLOOKUP('TCO TO BE- SW'!M$2,MODULY_CBA!$B$3:$L$23,11,0),0),0)</f>
        <v>0</v>
      </c>
      <c r="N121" s="586">
        <f>IFERROR(IF(VLOOKUP(N$2,MODULY_CBA!$B$3:$N$23,13,0)&lt;='TCO TO BE- SW'!$D121,SUM('TCO TO BE- SW'!N$37:N$46)*VLOOKUP('TCO TO BE- SW'!N$2,MODULY_CBA!$B$3:$L$23,11,0),0),0)</f>
        <v>0</v>
      </c>
      <c r="O121" s="586">
        <f>IFERROR(IF(VLOOKUP(O$2,MODULY_CBA!$B$3:$N$23,13,0)&lt;='TCO TO BE- SW'!$D121,SUM('TCO TO BE- SW'!O$37:O$46)*VLOOKUP('TCO TO BE- SW'!O$2,MODULY_CBA!$B$3:$L$23,11,0),0),0)</f>
        <v>0</v>
      </c>
      <c r="P121" s="586">
        <f>IFERROR(IF(VLOOKUP(P$2,MODULY_CBA!$B$3:$N$23,13,0)&lt;='TCO TO BE- SW'!$D121,SUM('TCO TO BE- SW'!P$37:P$46)*VLOOKUP('TCO TO BE- SW'!P$2,MODULY_CBA!$B$3:$L$23,11,0),0),0)</f>
        <v>0</v>
      </c>
      <c r="Q121" s="586">
        <f>IFERROR(IF(VLOOKUP(Q$2,MODULY_CBA!$B$3:$N$23,13,0)&lt;='TCO TO BE- SW'!$D121,SUM('TCO TO BE- SW'!Q$37:Q$46)*VLOOKUP('TCO TO BE- SW'!Q$2,MODULY_CBA!$B$3:$L$23,11,0),0),0)</f>
        <v>0</v>
      </c>
      <c r="R121" s="586">
        <f>IFERROR(IF(VLOOKUP(R$2,MODULY_CBA!$B$3:$N$23,13,0)&lt;='TCO TO BE- SW'!$D121,SUM('TCO TO BE- SW'!R$37:R$46)*VLOOKUP('TCO TO BE- SW'!R$2,MODULY_CBA!$B$3:$L$23,11,0),0),0)</f>
        <v>0</v>
      </c>
      <c r="S121" s="586">
        <f>IFERROR(IF(VLOOKUP(S$2,MODULY_CBA!$B$3:$N$23,13,0)&lt;='TCO TO BE- SW'!$D121,SUM('TCO TO BE- SW'!S$37:S$46)*VLOOKUP('TCO TO BE- SW'!S$2,MODULY_CBA!$B$3:$L$23,11,0),0),0)</f>
        <v>0</v>
      </c>
      <c r="T121" s="586">
        <f>IFERROR(IF(VLOOKUP(T$2,MODULY_CBA!$B$3:$N$23,13,0)&lt;='TCO TO BE- SW'!$D121,SUM('TCO TO BE- SW'!T$37:T$46)*VLOOKUP('TCO TO BE- SW'!T$2,MODULY_CBA!$B$3:$L$23,11,0),0),0)</f>
        <v>0</v>
      </c>
      <c r="U121" s="586">
        <f>IFERROR(IF(VLOOKUP(U$2,MODULY_CBA!$B$3:$N$23,13,0)&lt;='TCO TO BE- SW'!$D121,SUM('TCO TO BE- SW'!U$37:U$46)*VLOOKUP('TCO TO BE- SW'!U$2,MODULY_CBA!$B$3:$L$23,11,0),0),0)</f>
        <v>0</v>
      </c>
      <c r="V121" s="586">
        <f>IFERROR(IF(VLOOKUP(V$2,MODULY_CBA!$B$3:$N$23,13,0)&lt;='TCO TO BE- SW'!$D121,SUM('TCO TO BE- SW'!V$37:V$46)*VLOOKUP('TCO TO BE- SW'!V$2,MODULY_CBA!$B$3:$L$23,11,0),0),0)</f>
        <v>0</v>
      </c>
      <c r="W121" s="586">
        <f>IFERROR(IF(VLOOKUP(W$2,MODULY_CBA!$B$3:$N$23,13,0)&lt;='TCO TO BE- SW'!$D121,SUM('TCO TO BE- SW'!W$37:W$46)*VLOOKUP('TCO TO BE- SW'!W$2,MODULY_CBA!$B$3:$L$23,11,0),0),0)</f>
        <v>0</v>
      </c>
      <c r="X121" s="586">
        <f>IFERROR(IF(VLOOKUP(X$2,MODULY_CBA!$B$3:$N$23,13,0)&lt;='TCO TO BE- SW'!$D121,SUM('TCO TO BE- SW'!X$37:X$46)*VLOOKUP('TCO TO BE- SW'!X$2,MODULY_CBA!$B$3:$L$23,11,0),0),0)</f>
        <v>0</v>
      </c>
      <c r="Y121" s="586">
        <f>IFERROR(IF(VLOOKUP(Y$2,MODULY_CBA!$B$3:$N$23,13,0)&lt;='TCO TO BE- SW'!$D121,SUM('TCO TO BE- SW'!Y$37:Y$46)*VLOOKUP('TCO TO BE- SW'!Y$2,MODULY_CBA!$B$3:$L$23,11,0),0),0)</f>
        <v>0</v>
      </c>
      <c r="Z121" s="586">
        <f>IFERROR(IF(VLOOKUP(Z$2,MODULY_CBA!$B$3:$N$23,13,0)&lt;='TCO TO BE- SW'!$D121,SUM('TCO TO BE- SW'!Z$37:Z$46)*VLOOKUP('TCO TO BE- SW'!Z$2,MODULY_CBA!$B$3:$L$23,11,0),0),0)</f>
        <v>0</v>
      </c>
    </row>
    <row r="122" spans="1:26" outlineLevel="2">
      <c r="A122" s="817"/>
      <c r="B122" s="818"/>
      <c r="C122" s="818"/>
      <c r="D122" s="64">
        <v>3</v>
      </c>
      <c r="E122" s="68">
        <f t="shared" si="14"/>
        <v>3159082.632374133</v>
      </c>
      <c r="F122" s="586">
        <f>IFERROR(IF(VLOOKUP(F$2,MODULY_CBA!$B$3:$N$23,13,0)&lt;='TCO TO BE- SW'!$D122,SUM('TCO TO BE- SW'!F$37:F$46)*VLOOKUP('TCO TO BE- SW'!F$2,MODULY_CBA!$B$3:$L$23,11,0),0),0)</f>
        <v>680259.04417288583</v>
      </c>
      <c r="G122" s="586">
        <f>IFERROR(IF(VLOOKUP(G$2,MODULY_CBA!$B$3:$N$23,13,0)&lt;='TCO TO BE- SW'!$D122,SUM('TCO TO BE- SW'!G$37:G$46)*VLOOKUP('TCO TO BE- SW'!G$2,MODULY_CBA!$B$3:$L$23,11,0),0),0)</f>
        <v>48079.652396950092</v>
      </c>
      <c r="H122" s="586">
        <f>IFERROR(IF(VLOOKUP(H$2,MODULY_CBA!$B$3:$N$23,13,0)&lt;='TCO TO BE- SW'!$D122,SUM('TCO TO BE- SW'!H$37:H$46)*VLOOKUP('TCO TO BE- SW'!H$2,MODULY_CBA!$B$3:$L$23,11,0),0),0)</f>
        <v>46945.698330984291</v>
      </c>
      <c r="I122" s="586">
        <f>IFERROR(IF(VLOOKUP(I$2,MODULY_CBA!$B$3:$N$23,13,0)&lt;='TCO TO BE- SW'!$D122,SUM('TCO TO BE- SW'!I$37:I$46)*VLOOKUP('TCO TO BE- SW'!I$2,MODULY_CBA!$B$3:$L$23,11,0),0),0)</f>
        <v>28122.060835951939</v>
      </c>
      <c r="J122" s="586">
        <f>IFERROR(IF(VLOOKUP(J$2,MODULY_CBA!$B$3:$N$23,13,0)&lt;='TCO TO BE- SW'!$D122,SUM('TCO TO BE- SW'!J$37:J$46)*VLOOKUP('TCO TO BE- SW'!J$2,MODULY_CBA!$B$3:$L$23,11,0),0),0)</f>
        <v>46945.698330984291</v>
      </c>
      <c r="K122" s="586">
        <f>IFERROR(IF(VLOOKUP(K$2,MODULY_CBA!$B$3:$N$23,13,0)&lt;='TCO TO BE- SW'!$D122,SUM('TCO TO BE- SW'!K$37:K$46)*VLOOKUP('TCO TO BE- SW'!K$2,MODULY_CBA!$B$3:$L$23,11,0),0),0)</f>
        <v>9411.8187475161722</v>
      </c>
      <c r="L122" s="586">
        <f>IFERROR(IF(VLOOKUP(L$2,MODULY_CBA!$B$3:$N$23,13,0)&lt;='TCO TO BE- SW'!$D122,SUM('TCO TO BE- SW'!L$37:L$46)*VLOOKUP('TCO TO BE- SW'!L$2,MODULY_CBA!$B$3:$L$23,11,0),0),0)</f>
        <v>1087461.949261206</v>
      </c>
      <c r="M122" s="586">
        <f>IFERROR(IF(VLOOKUP(M$2,MODULY_CBA!$B$3:$N$23,13,0)&lt;='TCO TO BE- SW'!$D122,SUM('TCO TO BE- SW'!M$37:M$46)*VLOOKUP('TCO TO BE- SW'!M$2,MODULY_CBA!$B$3:$L$23,11,0),0),0)</f>
        <v>218172.76229182069</v>
      </c>
      <c r="N122" s="586">
        <f>IFERROR(IF(VLOOKUP(N$2,MODULY_CBA!$B$3:$N$23,13,0)&lt;='TCO TO BE- SW'!$D122,SUM('TCO TO BE- SW'!N$37:N$46)*VLOOKUP('TCO TO BE- SW'!N$2,MODULY_CBA!$B$3:$L$23,11,0),0),0)</f>
        <v>107952.42707994455</v>
      </c>
      <c r="O122" s="586">
        <f>IFERROR(IF(VLOOKUP(O$2,MODULY_CBA!$B$3:$N$23,13,0)&lt;='TCO TO BE- SW'!$D122,SUM('TCO TO BE- SW'!O$37:O$46)*VLOOKUP('TCO TO BE- SW'!O$2,MODULY_CBA!$B$3:$L$23,11,0),0),0)</f>
        <v>885731.52092588937</v>
      </c>
      <c r="P122" s="586">
        <f>IFERROR(IF(VLOOKUP(P$2,MODULY_CBA!$B$3:$N$23,13,0)&lt;='TCO TO BE- SW'!$D122,SUM('TCO TO BE- SW'!P$37:P$46)*VLOOKUP('TCO TO BE- SW'!P$2,MODULY_CBA!$B$3:$L$23,11,0),0),0)</f>
        <v>0</v>
      </c>
      <c r="Q122" s="586">
        <f>IFERROR(IF(VLOOKUP(Q$2,MODULY_CBA!$B$3:$N$23,13,0)&lt;='TCO TO BE- SW'!$D122,SUM('TCO TO BE- SW'!Q$37:Q$46)*VLOOKUP('TCO TO BE- SW'!Q$2,MODULY_CBA!$B$3:$L$23,11,0),0),0)</f>
        <v>0</v>
      </c>
      <c r="R122" s="586">
        <f>IFERROR(IF(VLOOKUP(R$2,MODULY_CBA!$B$3:$N$23,13,0)&lt;='TCO TO BE- SW'!$D122,SUM('TCO TO BE- SW'!R$37:R$46)*VLOOKUP('TCO TO BE- SW'!R$2,MODULY_CBA!$B$3:$L$23,11,0),0),0)</f>
        <v>0</v>
      </c>
      <c r="S122" s="586">
        <f>IFERROR(IF(VLOOKUP(S$2,MODULY_CBA!$B$3:$N$23,13,0)&lt;='TCO TO BE- SW'!$D122,SUM('TCO TO BE- SW'!S$37:S$46)*VLOOKUP('TCO TO BE- SW'!S$2,MODULY_CBA!$B$3:$L$23,11,0),0),0)</f>
        <v>0</v>
      </c>
      <c r="T122" s="586">
        <f>IFERROR(IF(VLOOKUP(T$2,MODULY_CBA!$B$3:$N$23,13,0)&lt;='TCO TO BE- SW'!$D122,SUM('TCO TO BE- SW'!T$37:T$46)*VLOOKUP('TCO TO BE- SW'!T$2,MODULY_CBA!$B$3:$L$23,11,0),0),0)</f>
        <v>0</v>
      </c>
      <c r="U122" s="586">
        <f>IFERROR(IF(VLOOKUP(U$2,MODULY_CBA!$B$3:$N$23,13,0)&lt;='TCO TO BE- SW'!$D122,SUM('TCO TO BE- SW'!U$37:U$46)*VLOOKUP('TCO TO BE- SW'!U$2,MODULY_CBA!$B$3:$L$23,11,0),0),0)</f>
        <v>0</v>
      </c>
      <c r="V122" s="586">
        <f>IFERROR(IF(VLOOKUP(V$2,MODULY_CBA!$B$3:$N$23,13,0)&lt;='TCO TO BE- SW'!$D122,SUM('TCO TO BE- SW'!V$37:V$46)*VLOOKUP('TCO TO BE- SW'!V$2,MODULY_CBA!$B$3:$L$23,11,0),0),0)</f>
        <v>0</v>
      </c>
      <c r="W122" s="586">
        <f>IFERROR(IF(VLOOKUP(W$2,MODULY_CBA!$B$3:$N$23,13,0)&lt;='TCO TO BE- SW'!$D122,SUM('TCO TO BE- SW'!W$37:W$46)*VLOOKUP('TCO TO BE- SW'!W$2,MODULY_CBA!$B$3:$L$23,11,0),0),0)</f>
        <v>0</v>
      </c>
      <c r="X122" s="586">
        <f>IFERROR(IF(VLOOKUP(X$2,MODULY_CBA!$B$3:$N$23,13,0)&lt;='TCO TO BE- SW'!$D122,SUM('TCO TO BE- SW'!X$37:X$46)*VLOOKUP('TCO TO BE- SW'!X$2,MODULY_CBA!$B$3:$L$23,11,0),0),0)</f>
        <v>0</v>
      </c>
      <c r="Y122" s="586">
        <f>IFERROR(IF(VLOOKUP(Y$2,MODULY_CBA!$B$3:$N$23,13,0)&lt;='TCO TO BE- SW'!$D122,SUM('TCO TO BE- SW'!Y$37:Y$46)*VLOOKUP('TCO TO BE- SW'!Y$2,MODULY_CBA!$B$3:$L$23,11,0),0),0)</f>
        <v>0</v>
      </c>
      <c r="Z122" s="586">
        <f>IFERROR(IF(VLOOKUP(Z$2,MODULY_CBA!$B$3:$N$23,13,0)&lt;='TCO TO BE- SW'!$D122,SUM('TCO TO BE- SW'!Z$37:Z$46)*VLOOKUP('TCO TO BE- SW'!Z$2,MODULY_CBA!$B$3:$L$23,11,0),0),0)</f>
        <v>0</v>
      </c>
    </row>
    <row r="123" spans="1:26" outlineLevel="2">
      <c r="A123" s="817"/>
      <c r="B123" s="818"/>
      <c r="C123" s="818"/>
      <c r="D123" s="64">
        <v>4</v>
      </c>
      <c r="E123" s="68">
        <f t="shared" si="14"/>
        <v>3159082.632374133</v>
      </c>
      <c r="F123" s="586">
        <f>IFERROR(IF(VLOOKUP(F$2,MODULY_CBA!$B$3:$N$23,13,0)&lt;='TCO TO BE- SW'!$D123,SUM('TCO TO BE- SW'!F$37:F$46)*VLOOKUP('TCO TO BE- SW'!F$2,MODULY_CBA!$B$3:$L$23,11,0),0),0)</f>
        <v>680259.04417288583</v>
      </c>
      <c r="G123" s="586">
        <f>IFERROR(IF(VLOOKUP(G$2,MODULY_CBA!$B$3:$N$23,13,0)&lt;='TCO TO BE- SW'!$D123,SUM('TCO TO BE- SW'!G$37:G$46)*VLOOKUP('TCO TO BE- SW'!G$2,MODULY_CBA!$B$3:$L$23,11,0),0),0)</f>
        <v>48079.652396950092</v>
      </c>
      <c r="H123" s="586">
        <f>IFERROR(IF(VLOOKUP(H$2,MODULY_CBA!$B$3:$N$23,13,0)&lt;='TCO TO BE- SW'!$D123,SUM('TCO TO BE- SW'!H$37:H$46)*VLOOKUP('TCO TO BE- SW'!H$2,MODULY_CBA!$B$3:$L$23,11,0),0),0)</f>
        <v>46945.698330984291</v>
      </c>
      <c r="I123" s="586">
        <f>IFERROR(IF(VLOOKUP(I$2,MODULY_CBA!$B$3:$N$23,13,0)&lt;='TCO TO BE- SW'!$D123,SUM('TCO TO BE- SW'!I$37:I$46)*VLOOKUP('TCO TO BE- SW'!I$2,MODULY_CBA!$B$3:$L$23,11,0),0),0)</f>
        <v>28122.060835951939</v>
      </c>
      <c r="J123" s="586">
        <f>IFERROR(IF(VLOOKUP(J$2,MODULY_CBA!$B$3:$N$23,13,0)&lt;='TCO TO BE- SW'!$D123,SUM('TCO TO BE- SW'!J$37:J$46)*VLOOKUP('TCO TO BE- SW'!J$2,MODULY_CBA!$B$3:$L$23,11,0),0),0)</f>
        <v>46945.698330984291</v>
      </c>
      <c r="K123" s="586">
        <f>IFERROR(IF(VLOOKUP(K$2,MODULY_CBA!$B$3:$N$23,13,0)&lt;='TCO TO BE- SW'!$D123,SUM('TCO TO BE- SW'!K$37:K$46)*VLOOKUP('TCO TO BE- SW'!K$2,MODULY_CBA!$B$3:$L$23,11,0),0),0)</f>
        <v>9411.8187475161722</v>
      </c>
      <c r="L123" s="586">
        <f>IFERROR(IF(VLOOKUP(L$2,MODULY_CBA!$B$3:$N$23,13,0)&lt;='TCO TO BE- SW'!$D123,SUM('TCO TO BE- SW'!L$37:L$46)*VLOOKUP('TCO TO BE- SW'!L$2,MODULY_CBA!$B$3:$L$23,11,0),0),0)</f>
        <v>1087461.949261206</v>
      </c>
      <c r="M123" s="586">
        <f>IFERROR(IF(VLOOKUP(M$2,MODULY_CBA!$B$3:$N$23,13,0)&lt;='TCO TO BE- SW'!$D123,SUM('TCO TO BE- SW'!M$37:M$46)*VLOOKUP('TCO TO BE- SW'!M$2,MODULY_CBA!$B$3:$L$23,11,0),0),0)</f>
        <v>218172.76229182069</v>
      </c>
      <c r="N123" s="586">
        <f>IFERROR(IF(VLOOKUP(N$2,MODULY_CBA!$B$3:$N$23,13,0)&lt;='TCO TO BE- SW'!$D123,SUM('TCO TO BE- SW'!N$37:N$46)*VLOOKUP('TCO TO BE- SW'!N$2,MODULY_CBA!$B$3:$L$23,11,0),0),0)</f>
        <v>107952.42707994455</v>
      </c>
      <c r="O123" s="586">
        <f>IFERROR(IF(VLOOKUP(O$2,MODULY_CBA!$B$3:$N$23,13,0)&lt;='TCO TO BE- SW'!$D123,SUM('TCO TO BE- SW'!O$37:O$46)*VLOOKUP('TCO TO BE- SW'!O$2,MODULY_CBA!$B$3:$L$23,11,0),0),0)</f>
        <v>885731.52092588937</v>
      </c>
      <c r="P123" s="586">
        <f>IFERROR(IF(VLOOKUP(P$2,MODULY_CBA!$B$3:$N$23,13,0)&lt;='TCO TO BE- SW'!$D123,SUM('TCO TO BE- SW'!P$37:P$46)*VLOOKUP('TCO TO BE- SW'!P$2,MODULY_CBA!$B$3:$L$23,11,0),0),0)</f>
        <v>0</v>
      </c>
      <c r="Q123" s="586">
        <f>IFERROR(IF(VLOOKUP(Q$2,MODULY_CBA!$B$3:$N$23,13,0)&lt;='TCO TO BE- SW'!$D123,SUM('TCO TO BE- SW'!Q$37:Q$46)*VLOOKUP('TCO TO BE- SW'!Q$2,MODULY_CBA!$B$3:$L$23,11,0),0),0)</f>
        <v>0</v>
      </c>
      <c r="R123" s="586">
        <f>IFERROR(IF(VLOOKUP(R$2,MODULY_CBA!$B$3:$N$23,13,0)&lt;='TCO TO BE- SW'!$D123,SUM('TCO TO BE- SW'!R$37:R$46)*VLOOKUP('TCO TO BE- SW'!R$2,MODULY_CBA!$B$3:$L$23,11,0),0),0)</f>
        <v>0</v>
      </c>
      <c r="S123" s="586">
        <f>IFERROR(IF(VLOOKUP(S$2,MODULY_CBA!$B$3:$N$23,13,0)&lt;='TCO TO BE- SW'!$D123,SUM('TCO TO BE- SW'!S$37:S$46)*VLOOKUP('TCO TO BE- SW'!S$2,MODULY_CBA!$B$3:$L$23,11,0),0),0)</f>
        <v>0</v>
      </c>
      <c r="T123" s="586">
        <f>IFERROR(IF(VLOOKUP(T$2,MODULY_CBA!$B$3:$N$23,13,0)&lt;='TCO TO BE- SW'!$D123,SUM('TCO TO BE- SW'!T$37:T$46)*VLOOKUP('TCO TO BE- SW'!T$2,MODULY_CBA!$B$3:$L$23,11,0),0),0)</f>
        <v>0</v>
      </c>
      <c r="U123" s="586">
        <f>IFERROR(IF(VLOOKUP(U$2,MODULY_CBA!$B$3:$N$23,13,0)&lt;='TCO TO BE- SW'!$D123,SUM('TCO TO BE- SW'!U$37:U$46)*VLOOKUP('TCO TO BE- SW'!U$2,MODULY_CBA!$B$3:$L$23,11,0),0),0)</f>
        <v>0</v>
      </c>
      <c r="V123" s="586">
        <f>IFERROR(IF(VLOOKUP(V$2,MODULY_CBA!$B$3:$N$23,13,0)&lt;='TCO TO BE- SW'!$D123,SUM('TCO TO BE- SW'!V$37:V$46)*VLOOKUP('TCO TO BE- SW'!V$2,MODULY_CBA!$B$3:$L$23,11,0),0),0)</f>
        <v>0</v>
      </c>
      <c r="W123" s="586">
        <f>IFERROR(IF(VLOOKUP(W$2,MODULY_CBA!$B$3:$N$23,13,0)&lt;='TCO TO BE- SW'!$D123,SUM('TCO TO BE- SW'!W$37:W$46)*VLOOKUP('TCO TO BE- SW'!W$2,MODULY_CBA!$B$3:$L$23,11,0),0),0)</f>
        <v>0</v>
      </c>
      <c r="X123" s="586">
        <f>IFERROR(IF(VLOOKUP(X$2,MODULY_CBA!$B$3:$N$23,13,0)&lt;='TCO TO BE- SW'!$D123,SUM('TCO TO BE- SW'!X$37:X$46)*VLOOKUP('TCO TO BE- SW'!X$2,MODULY_CBA!$B$3:$L$23,11,0),0),0)</f>
        <v>0</v>
      </c>
      <c r="Y123" s="586">
        <f>IFERROR(IF(VLOOKUP(Y$2,MODULY_CBA!$B$3:$N$23,13,0)&lt;='TCO TO BE- SW'!$D123,SUM('TCO TO BE- SW'!Y$37:Y$46)*VLOOKUP('TCO TO BE- SW'!Y$2,MODULY_CBA!$B$3:$L$23,11,0),0),0)</f>
        <v>0</v>
      </c>
      <c r="Z123" s="586">
        <f>IFERROR(IF(VLOOKUP(Z$2,MODULY_CBA!$B$3:$N$23,13,0)&lt;='TCO TO BE- SW'!$D123,SUM('TCO TO BE- SW'!Z$37:Z$46)*VLOOKUP('TCO TO BE- SW'!Z$2,MODULY_CBA!$B$3:$L$23,11,0),0),0)</f>
        <v>0</v>
      </c>
    </row>
    <row r="124" spans="1:26" outlineLevel="2">
      <c r="A124" s="817"/>
      <c r="B124" s="818"/>
      <c r="C124" s="818"/>
      <c r="D124" s="64">
        <v>5</v>
      </c>
      <c r="E124" s="68">
        <f t="shared" si="14"/>
        <v>3159082.632374133</v>
      </c>
      <c r="F124" s="586">
        <f>IFERROR(IF(VLOOKUP(F$2,MODULY_CBA!$B$3:$N$23,13,0)&lt;='TCO TO BE- SW'!$D124,SUM('TCO TO BE- SW'!F$37:F$46)*VLOOKUP('TCO TO BE- SW'!F$2,MODULY_CBA!$B$3:$L$23,11,0),0),0)</f>
        <v>680259.04417288583</v>
      </c>
      <c r="G124" s="586">
        <f>IFERROR(IF(VLOOKUP(G$2,MODULY_CBA!$B$3:$N$23,13,0)&lt;='TCO TO BE- SW'!$D124,SUM('TCO TO BE- SW'!G$37:G$46)*VLOOKUP('TCO TO BE- SW'!G$2,MODULY_CBA!$B$3:$L$23,11,0),0),0)</f>
        <v>48079.652396950092</v>
      </c>
      <c r="H124" s="586">
        <f>IFERROR(IF(VLOOKUP(H$2,MODULY_CBA!$B$3:$N$23,13,0)&lt;='TCO TO BE- SW'!$D124,SUM('TCO TO BE- SW'!H$37:H$46)*VLOOKUP('TCO TO BE- SW'!H$2,MODULY_CBA!$B$3:$L$23,11,0),0),0)</f>
        <v>46945.698330984291</v>
      </c>
      <c r="I124" s="586">
        <f>IFERROR(IF(VLOOKUP(I$2,MODULY_CBA!$B$3:$N$23,13,0)&lt;='TCO TO BE- SW'!$D124,SUM('TCO TO BE- SW'!I$37:I$46)*VLOOKUP('TCO TO BE- SW'!I$2,MODULY_CBA!$B$3:$L$23,11,0),0),0)</f>
        <v>28122.060835951939</v>
      </c>
      <c r="J124" s="586">
        <f>IFERROR(IF(VLOOKUP(J$2,MODULY_CBA!$B$3:$N$23,13,0)&lt;='TCO TO BE- SW'!$D124,SUM('TCO TO BE- SW'!J$37:J$46)*VLOOKUP('TCO TO BE- SW'!J$2,MODULY_CBA!$B$3:$L$23,11,0),0),0)</f>
        <v>46945.698330984291</v>
      </c>
      <c r="K124" s="586">
        <f>IFERROR(IF(VLOOKUP(K$2,MODULY_CBA!$B$3:$N$23,13,0)&lt;='TCO TO BE- SW'!$D124,SUM('TCO TO BE- SW'!K$37:K$46)*VLOOKUP('TCO TO BE- SW'!K$2,MODULY_CBA!$B$3:$L$23,11,0),0),0)</f>
        <v>9411.8187475161722</v>
      </c>
      <c r="L124" s="586">
        <f>IFERROR(IF(VLOOKUP(L$2,MODULY_CBA!$B$3:$N$23,13,0)&lt;='TCO TO BE- SW'!$D124,SUM('TCO TO BE- SW'!L$37:L$46)*VLOOKUP('TCO TO BE- SW'!L$2,MODULY_CBA!$B$3:$L$23,11,0),0),0)</f>
        <v>1087461.949261206</v>
      </c>
      <c r="M124" s="586">
        <f>IFERROR(IF(VLOOKUP(M$2,MODULY_CBA!$B$3:$N$23,13,0)&lt;='TCO TO BE- SW'!$D124,SUM('TCO TO BE- SW'!M$37:M$46)*VLOOKUP('TCO TO BE- SW'!M$2,MODULY_CBA!$B$3:$L$23,11,0),0),0)</f>
        <v>218172.76229182069</v>
      </c>
      <c r="N124" s="586">
        <f>IFERROR(IF(VLOOKUP(N$2,MODULY_CBA!$B$3:$N$23,13,0)&lt;='TCO TO BE- SW'!$D124,SUM('TCO TO BE- SW'!N$37:N$46)*VLOOKUP('TCO TO BE- SW'!N$2,MODULY_CBA!$B$3:$L$23,11,0),0),0)</f>
        <v>107952.42707994455</v>
      </c>
      <c r="O124" s="586">
        <f>IFERROR(IF(VLOOKUP(O$2,MODULY_CBA!$B$3:$N$23,13,0)&lt;='TCO TO BE- SW'!$D124,SUM('TCO TO BE- SW'!O$37:O$46)*VLOOKUP('TCO TO BE- SW'!O$2,MODULY_CBA!$B$3:$L$23,11,0),0),0)</f>
        <v>885731.52092588937</v>
      </c>
      <c r="P124" s="586">
        <f>IFERROR(IF(VLOOKUP(P$2,MODULY_CBA!$B$3:$N$23,13,0)&lt;='TCO TO BE- SW'!$D124,SUM('TCO TO BE- SW'!P$37:P$46)*VLOOKUP('TCO TO BE- SW'!P$2,MODULY_CBA!$B$3:$L$23,11,0),0),0)</f>
        <v>0</v>
      </c>
      <c r="Q124" s="586">
        <f>IFERROR(IF(VLOOKUP(Q$2,MODULY_CBA!$B$3:$N$23,13,0)&lt;='TCO TO BE- SW'!$D124,SUM('TCO TO BE- SW'!Q$37:Q$46)*VLOOKUP('TCO TO BE- SW'!Q$2,MODULY_CBA!$B$3:$L$23,11,0),0),0)</f>
        <v>0</v>
      </c>
      <c r="R124" s="586">
        <f>IFERROR(IF(VLOOKUP(R$2,MODULY_CBA!$B$3:$N$23,13,0)&lt;='TCO TO BE- SW'!$D124,SUM('TCO TO BE- SW'!R$37:R$46)*VLOOKUP('TCO TO BE- SW'!R$2,MODULY_CBA!$B$3:$L$23,11,0),0),0)</f>
        <v>0</v>
      </c>
      <c r="S124" s="586">
        <f>IFERROR(IF(VLOOKUP(S$2,MODULY_CBA!$B$3:$N$23,13,0)&lt;='TCO TO BE- SW'!$D124,SUM('TCO TO BE- SW'!S$37:S$46)*VLOOKUP('TCO TO BE- SW'!S$2,MODULY_CBA!$B$3:$L$23,11,0),0),0)</f>
        <v>0</v>
      </c>
      <c r="T124" s="586">
        <f>IFERROR(IF(VLOOKUP(T$2,MODULY_CBA!$B$3:$N$23,13,0)&lt;='TCO TO BE- SW'!$D124,SUM('TCO TO BE- SW'!T$37:T$46)*VLOOKUP('TCO TO BE- SW'!T$2,MODULY_CBA!$B$3:$L$23,11,0),0),0)</f>
        <v>0</v>
      </c>
      <c r="U124" s="586">
        <f>IFERROR(IF(VLOOKUP(U$2,MODULY_CBA!$B$3:$N$23,13,0)&lt;='TCO TO BE- SW'!$D124,SUM('TCO TO BE- SW'!U$37:U$46)*VLOOKUP('TCO TO BE- SW'!U$2,MODULY_CBA!$B$3:$L$23,11,0),0),0)</f>
        <v>0</v>
      </c>
      <c r="V124" s="586">
        <f>IFERROR(IF(VLOOKUP(V$2,MODULY_CBA!$B$3:$N$23,13,0)&lt;='TCO TO BE- SW'!$D124,SUM('TCO TO BE- SW'!V$37:V$46)*VLOOKUP('TCO TO BE- SW'!V$2,MODULY_CBA!$B$3:$L$23,11,0),0),0)</f>
        <v>0</v>
      </c>
      <c r="W124" s="586">
        <f>IFERROR(IF(VLOOKUP(W$2,MODULY_CBA!$B$3:$N$23,13,0)&lt;='TCO TO BE- SW'!$D124,SUM('TCO TO BE- SW'!W$37:W$46)*VLOOKUP('TCO TO BE- SW'!W$2,MODULY_CBA!$B$3:$L$23,11,0),0),0)</f>
        <v>0</v>
      </c>
      <c r="X124" s="586">
        <f>IFERROR(IF(VLOOKUP(X$2,MODULY_CBA!$B$3:$N$23,13,0)&lt;='TCO TO BE- SW'!$D124,SUM('TCO TO BE- SW'!X$37:X$46)*VLOOKUP('TCO TO BE- SW'!X$2,MODULY_CBA!$B$3:$L$23,11,0),0),0)</f>
        <v>0</v>
      </c>
      <c r="Y124" s="586">
        <f>IFERROR(IF(VLOOKUP(Y$2,MODULY_CBA!$B$3:$N$23,13,0)&lt;='TCO TO BE- SW'!$D124,SUM('TCO TO BE- SW'!Y$37:Y$46)*VLOOKUP('TCO TO BE- SW'!Y$2,MODULY_CBA!$B$3:$L$23,11,0),0),0)</f>
        <v>0</v>
      </c>
      <c r="Z124" s="586">
        <f>IFERROR(IF(VLOOKUP(Z$2,MODULY_CBA!$B$3:$N$23,13,0)&lt;='TCO TO BE- SW'!$D124,SUM('TCO TO BE- SW'!Z$37:Z$46)*VLOOKUP('TCO TO BE- SW'!Z$2,MODULY_CBA!$B$3:$L$23,11,0),0),0)</f>
        <v>0</v>
      </c>
    </row>
    <row r="125" spans="1:26" outlineLevel="2">
      <c r="A125" s="817"/>
      <c r="B125" s="818"/>
      <c r="C125" s="818"/>
      <c r="D125" s="64">
        <v>6</v>
      </c>
      <c r="E125" s="68">
        <f t="shared" si="14"/>
        <v>3159082.632374133</v>
      </c>
      <c r="F125" s="586">
        <f>IFERROR(IF(VLOOKUP(F$2,MODULY_CBA!$B$3:$N$23,13,0)&lt;='TCO TO BE- SW'!$D125,SUM('TCO TO BE- SW'!F$37:F$46)*VLOOKUP('TCO TO BE- SW'!F$2,MODULY_CBA!$B$3:$L$23,11,0),0),0)</f>
        <v>680259.04417288583</v>
      </c>
      <c r="G125" s="586">
        <f>IFERROR(IF(VLOOKUP(G$2,MODULY_CBA!$B$3:$N$23,13,0)&lt;='TCO TO BE- SW'!$D125,SUM('TCO TO BE- SW'!G$37:G$46)*VLOOKUP('TCO TO BE- SW'!G$2,MODULY_CBA!$B$3:$L$23,11,0),0),0)</f>
        <v>48079.652396950092</v>
      </c>
      <c r="H125" s="586">
        <f>IFERROR(IF(VLOOKUP(H$2,MODULY_CBA!$B$3:$N$23,13,0)&lt;='TCO TO BE- SW'!$D125,SUM('TCO TO BE- SW'!H$37:H$46)*VLOOKUP('TCO TO BE- SW'!H$2,MODULY_CBA!$B$3:$L$23,11,0),0),0)</f>
        <v>46945.698330984291</v>
      </c>
      <c r="I125" s="586">
        <f>IFERROR(IF(VLOOKUP(I$2,MODULY_CBA!$B$3:$N$23,13,0)&lt;='TCO TO BE- SW'!$D125,SUM('TCO TO BE- SW'!I$37:I$46)*VLOOKUP('TCO TO BE- SW'!I$2,MODULY_CBA!$B$3:$L$23,11,0),0),0)</f>
        <v>28122.060835951939</v>
      </c>
      <c r="J125" s="586">
        <f>IFERROR(IF(VLOOKUP(J$2,MODULY_CBA!$B$3:$N$23,13,0)&lt;='TCO TO BE- SW'!$D125,SUM('TCO TO BE- SW'!J$37:J$46)*VLOOKUP('TCO TO BE- SW'!J$2,MODULY_CBA!$B$3:$L$23,11,0),0),0)</f>
        <v>46945.698330984291</v>
      </c>
      <c r="K125" s="586">
        <f>IFERROR(IF(VLOOKUP(K$2,MODULY_CBA!$B$3:$N$23,13,0)&lt;='TCO TO BE- SW'!$D125,SUM('TCO TO BE- SW'!K$37:K$46)*VLOOKUP('TCO TO BE- SW'!K$2,MODULY_CBA!$B$3:$L$23,11,0),0),0)</f>
        <v>9411.8187475161722</v>
      </c>
      <c r="L125" s="586">
        <f>IFERROR(IF(VLOOKUP(L$2,MODULY_CBA!$B$3:$N$23,13,0)&lt;='TCO TO BE- SW'!$D125,SUM('TCO TO BE- SW'!L$37:L$46)*VLOOKUP('TCO TO BE- SW'!L$2,MODULY_CBA!$B$3:$L$23,11,0),0),0)</f>
        <v>1087461.949261206</v>
      </c>
      <c r="M125" s="586">
        <f>IFERROR(IF(VLOOKUP(M$2,MODULY_CBA!$B$3:$N$23,13,0)&lt;='TCO TO BE- SW'!$D125,SUM('TCO TO BE- SW'!M$37:M$46)*VLOOKUP('TCO TO BE- SW'!M$2,MODULY_CBA!$B$3:$L$23,11,0),0),0)</f>
        <v>218172.76229182069</v>
      </c>
      <c r="N125" s="586">
        <f>IFERROR(IF(VLOOKUP(N$2,MODULY_CBA!$B$3:$N$23,13,0)&lt;='TCO TO BE- SW'!$D125,SUM('TCO TO BE- SW'!N$37:N$46)*VLOOKUP('TCO TO BE- SW'!N$2,MODULY_CBA!$B$3:$L$23,11,0),0),0)</f>
        <v>107952.42707994455</v>
      </c>
      <c r="O125" s="586">
        <f>IFERROR(IF(VLOOKUP(O$2,MODULY_CBA!$B$3:$N$23,13,0)&lt;='TCO TO BE- SW'!$D125,SUM('TCO TO BE- SW'!O$37:O$46)*VLOOKUP('TCO TO BE- SW'!O$2,MODULY_CBA!$B$3:$L$23,11,0),0),0)</f>
        <v>885731.52092588937</v>
      </c>
      <c r="P125" s="586">
        <f>IFERROR(IF(VLOOKUP(P$2,MODULY_CBA!$B$3:$N$23,13,0)&lt;='TCO TO BE- SW'!$D125,SUM('TCO TO BE- SW'!P$37:P$46)*VLOOKUP('TCO TO BE- SW'!P$2,MODULY_CBA!$B$3:$L$23,11,0),0),0)</f>
        <v>0</v>
      </c>
      <c r="Q125" s="586">
        <f>IFERROR(IF(VLOOKUP(Q$2,MODULY_CBA!$B$3:$N$23,13,0)&lt;='TCO TO BE- SW'!$D125,SUM('TCO TO BE- SW'!Q$37:Q$46)*VLOOKUP('TCO TO BE- SW'!Q$2,MODULY_CBA!$B$3:$L$23,11,0),0),0)</f>
        <v>0</v>
      </c>
      <c r="R125" s="586">
        <f>IFERROR(IF(VLOOKUP(R$2,MODULY_CBA!$B$3:$N$23,13,0)&lt;='TCO TO BE- SW'!$D125,SUM('TCO TO BE- SW'!R$37:R$46)*VLOOKUP('TCO TO BE- SW'!R$2,MODULY_CBA!$B$3:$L$23,11,0),0),0)</f>
        <v>0</v>
      </c>
      <c r="S125" s="586">
        <f>IFERROR(IF(VLOOKUP(S$2,MODULY_CBA!$B$3:$N$23,13,0)&lt;='TCO TO BE- SW'!$D125,SUM('TCO TO BE- SW'!S$37:S$46)*VLOOKUP('TCO TO BE- SW'!S$2,MODULY_CBA!$B$3:$L$23,11,0),0),0)</f>
        <v>0</v>
      </c>
      <c r="T125" s="586">
        <f>IFERROR(IF(VLOOKUP(T$2,MODULY_CBA!$B$3:$N$23,13,0)&lt;='TCO TO BE- SW'!$D125,SUM('TCO TO BE- SW'!T$37:T$46)*VLOOKUP('TCO TO BE- SW'!T$2,MODULY_CBA!$B$3:$L$23,11,0),0),0)</f>
        <v>0</v>
      </c>
      <c r="U125" s="586">
        <f>IFERROR(IF(VLOOKUP(U$2,MODULY_CBA!$B$3:$N$23,13,0)&lt;='TCO TO BE- SW'!$D125,SUM('TCO TO BE- SW'!U$37:U$46)*VLOOKUP('TCO TO BE- SW'!U$2,MODULY_CBA!$B$3:$L$23,11,0),0),0)</f>
        <v>0</v>
      </c>
      <c r="V125" s="586">
        <f>IFERROR(IF(VLOOKUP(V$2,MODULY_CBA!$B$3:$N$23,13,0)&lt;='TCO TO BE- SW'!$D125,SUM('TCO TO BE- SW'!V$37:V$46)*VLOOKUP('TCO TO BE- SW'!V$2,MODULY_CBA!$B$3:$L$23,11,0),0),0)</f>
        <v>0</v>
      </c>
      <c r="W125" s="586">
        <f>IFERROR(IF(VLOOKUP(W$2,MODULY_CBA!$B$3:$N$23,13,0)&lt;='TCO TO BE- SW'!$D125,SUM('TCO TO BE- SW'!W$37:W$46)*VLOOKUP('TCO TO BE- SW'!W$2,MODULY_CBA!$B$3:$L$23,11,0),0),0)</f>
        <v>0</v>
      </c>
      <c r="X125" s="586">
        <f>IFERROR(IF(VLOOKUP(X$2,MODULY_CBA!$B$3:$N$23,13,0)&lt;='TCO TO BE- SW'!$D125,SUM('TCO TO BE- SW'!X$37:X$46)*VLOOKUP('TCO TO BE- SW'!X$2,MODULY_CBA!$B$3:$L$23,11,0),0),0)</f>
        <v>0</v>
      </c>
      <c r="Y125" s="586">
        <f>IFERROR(IF(VLOOKUP(Y$2,MODULY_CBA!$B$3:$N$23,13,0)&lt;='TCO TO BE- SW'!$D125,SUM('TCO TO BE- SW'!Y$37:Y$46)*VLOOKUP('TCO TO BE- SW'!Y$2,MODULY_CBA!$B$3:$L$23,11,0),0),0)</f>
        <v>0</v>
      </c>
      <c r="Z125" s="586">
        <f>IFERROR(IF(VLOOKUP(Z$2,MODULY_CBA!$B$3:$N$23,13,0)&lt;='TCO TO BE- SW'!$D125,SUM('TCO TO BE- SW'!Z$37:Z$46)*VLOOKUP('TCO TO BE- SW'!Z$2,MODULY_CBA!$B$3:$L$23,11,0),0),0)</f>
        <v>0</v>
      </c>
    </row>
    <row r="126" spans="1:26" outlineLevel="2">
      <c r="A126" s="817"/>
      <c r="B126" s="818"/>
      <c r="C126" s="818"/>
      <c r="D126" s="64">
        <v>7</v>
      </c>
      <c r="E126" s="68">
        <f t="shared" si="14"/>
        <v>3159082.632374133</v>
      </c>
      <c r="F126" s="586">
        <f>IFERROR(IF(VLOOKUP(F$2,MODULY_CBA!$B$3:$N$23,13,0)&lt;='TCO TO BE- SW'!$D126,SUM('TCO TO BE- SW'!F$37:F$46)*VLOOKUP('TCO TO BE- SW'!F$2,MODULY_CBA!$B$3:$L$23,11,0),0),0)</f>
        <v>680259.04417288583</v>
      </c>
      <c r="G126" s="586">
        <f>IFERROR(IF(VLOOKUP(G$2,MODULY_CBA!$B$3:$N$23,13,0)&lt;='TCO TO BE- SW'!$D126,SUM('TCO TO BE- SW'!G$37:G$46)*VLOOKUP('TCO TO BE- SW'!G$2,MODULY_CBA!$B$3:$L$23,11,0),0),0)</f>
        <v>48079.652396950092</v>
      </c>
      <c r="H126" s="586">
        <f>IFERROR(IF(VLOOKUP(H$2,MODULY_CBA!$B$3:$N$23,13,0)&lt;='TCO TO BE- SW'!$D126,SUM('TCO TO BE- SW'!H$37:H$46)*VLOOKUP('TCO TO BE- SW'!H$2,MODULY_CBA!$B$3:$L$23,11,0),0),0)</f>
        <v>46945.698330984291</v>
      </c>
      <c r="I126" s="586">
        <f>IFERROR(IF(VLOOKUP(I$2,MODULY_CBA!$B$3:$N$23,13,0)&lt;='TCO TO BE- SW'!$D126,SUM('TCO TO BE- SW'!I$37:I$46)*VLOOKUP('TCO TO BE- SW'!I$2,MODULY_CBA!$B$3:$L$23,11,0),0),0)</f>
        <v>28122.060835951939</v>
      </c>
      <c r="J126" s="586">
        <f>IFERROR(IF(VLOOKUP(J$2,MODULY_CBA!$B$3:$N$23,13,0)&lt;='TCO TO BE- SW'!$D126,SUM('TCO TO BE- SW'!J$37:J$46)*VLOOKUP('TCO TO BE- SW'!J$2,MODULY_CBA!$B$3:$L$23,11,0),0),0)</f>
        <v>46945.698330984291</v>
      </c>
      <c r="K126" s="586">
        <f>IFERROR(IF(VLOOKUP(K$2,MODULY_CBA!$B$3:$N$23,13,0)&lt;='TCO TO BE- SW'!$D126,SUM('TCO TO BE- SW'!K$37:K$46)*VLOOKUP('TCO TO BE- SW'!K$2,MODULY_CBA!$B$3:$L$23,11,0),0),0)</f>
        <v>9411.8187475161722</v>
      </c>
      <c r="L126" s="586">
        <f>IFERROR(IF(VLOOKUP(L$2,MODULY_CBA!$B$3:$N$23,13,0)&lt;='TCO TO BE- SW'!$D126,SUM('TCO TO BE- SW'!L$37:L$46)*VLOOKUP('TCO TO BE- SW'!L$2,MODULY_CBA!$B$3:$L$23,11,0),0),0)</f>
        <v>1087461.949261206</v>
      </c>
      <c r="M126" s="586">
        <f>IFERROR(IF(VLOOKUP(M$2,MODULY_CBA!$B$3:$N$23,13,0)&lt;='TCO TO BE- SW'!$D126,SUM('TCO TO BE- SW'!M$37:M$46)*VLOOKUP('TCO TO BE- SW'!M$2,MODULY_CBA!$B$3:$L$23,11,0),0),0)</f>
        <v>218172.76229182069</v>
      </c>
      <c r="N126" s="586">
        <f>IFERROR(IF(VLOOKUP(N$2,MODULY_CBA!$B$3:$N$23,13,0)&lt;='TCO TO BE- SW'!$D126,SUM('TCO TO BE- SW'!N$37:N$46)*VLOOKUP('TCO TO BE- SW'!N$2,MODULY_CBA!$B$3:$L$23,11,0),0),0)</f>
        <v>107952.42707994455</v>
      </c>
      <c r="O126" s="586">
        <f>IFERROR(IF(VLOOKUP(O$2,MODULY_CBA!$B$3:$N$23,13,0)&lt;='TCO TO BE- SW'!$D126,SUM('TCO TO BE- SW'!O$37:O$46)*VLOOKUP('TCO TO BE- SW'!O$2,MODULY_CBA!$B$3:$L$23,11,0),0),0)</f>
        <v>885731.52092588937</v>
      </c>
      <c r="P126" s="586">
        <f>IFERROR(IF(VLOOKUP(P$2,MODULY_CBA!$B$3:$N$23,13,0)&lt;='TCO TO BE- SW'!$D126,SUM('TCO TO BE- SW'!P$37:P$46)*VLOOKUP('TCO TO BE- SW'!P$2,MODULY_CBA!$B$3:$L$23,11,0),0),0)</f>
        <v>0</v>
      </c>
      <c r="Q126" s="586">
        <f>IFERROR(IF(VLOOKUP(Q$2,MODULY_CBA!$B$3:$N$23,13,0)&lt;='TCO TO BE- SW'!$D126,SUM('TCO TO BE- SW'!Q$37:Q$46)*VLOOKUP('TCO TO BE- SW'!Q$2,MODULY_CBA!$B$3:$L$23,11,0),0),0)</f>
        <v>0</v>
      </c>
      <c r="R126" s="586">
        <f>IFERROR(IF(VLOOKUP(R$2,MODULY_CBA!$B$3:$N$23,13,0)&lt;='TCO TO BE- SW'!$D126,SUM('TCO TO BE- SW'!R$37:R$46)*VLOOKUP('TCO TO BE- SW'!R$2,MODULY_CBA!$B$3:$L$23,11,0),0),0)</f>
        <v>0</v>
      </c>
      <c r="S126" s="586">
        <f>IFERROR(IF(VLOOKUP(S$2,MODULY_CBA!$B$3:$N$23,13,0)&lt;='TCO TO BE- SW'!$D126,SUM('TCO TO BE- SW'!S$37:S$46)*VLOOKUP('TCO TO BE- SW'!S$2,MODULY_CBA!$B$3:$L$23,11,0),0),0)</f>
        <v>0</v>
      </c>
      <c r="T126" s="586">
        <f>IFERROR(IF(VLOOKUP(T$2,MODULY_CBA!$B$3:$N$23,13,0)&lt;='TCO TO BE- SW'!$D126,SUM('TCO TO BE- SW'!T$37:T$46)*VLOOKUP('TCO TO BE- SW'!T$2,MODULY_CBA!$B$3:$L$23,11,0),0),0)</f>
        <v>0</v>
      </c>
      <c r="U126" s="586">
        <f>IFERROR(IF(VLOOKUP(U$2,MODULY_CBA!$B$3:$N$23,13,0)&lt;='TCO TO BE- SW'!$D126,SUM('TCO TO BE- SW'!U$37:U$46)*VLOOKUP('TCO TO BE- SW'!U$2,MODULY_CBA!$B$3:$L$23,11,0),0),0)</f>
        <v>0</v>
      </c>
      <c r="V126" s="586">
        <f>IFERROR(IF(VLOOKUP(V$2,MODULY_CBA!$B$3:$N$23,13,0)&lt;='TCO TO BE- SW'!$D126,SUM('TCO TO BE- SW'!V$37:V$46)*VLOOKUP('TCO TO BE- SW'!V$2,MODULY_CBA!$B$3:$L$23,11,0),0),0)</f>
        <v>0</v>
      </c>
      <c r="W126" s="586">
        <f>IFERROR(IF(VLOOKUP(W$2,MODULY_CBA!$B$3:$N$23,13,0)&lt;='TCO TO BE- SW'!$D126,SUM('TCO TO BE- SW'!W$37:W$46)*VLOOKUP('TCO TO BE- SW'!W$2,MODULY_CBA!$B$3:$L$23,11,0),0),0)</f>
        <v>0</v>
      </c>
      <c r="X126" s="586">
        <f>IFERROR(IF(VLOOKUP(X$2,MODULY_CBA!$B$3:$N$23,13,0)&lt;='TCO TO BE- SW'!$D126,SUM('TCO TO BE- SW'!X$37:X$46)*VLOOKUP('TCO TO BE- SW'!X$2,MODULY_CBA!$B$3:$L$23,11,0),0),0)</f>
        <v>0</v>
      </c>
      <c r="Y126" s="586">
        <f>IFERROR(IF(VLOOKUP(Y$2,MODULY_CBA!$B$3:$N$23,13,0)&lt;='TCO TO BE- SW'!$D126,SUM('TCO TO BE- SW'!Y$37:Y$46)*VLOOKUP('TCO TO BE- SW'!Y$2,MODULY_CBA!$B$3:$L$23,11,0),0),0)</f>
        <v>0</v>
      </c>
      <c r="Z126" s="586">
        <f>IFERROR(IF(VLOOKUP(Z$2,MODULY_CBA!$B$3:$N$23,13,0)&lt;='TCO TO BE- SW'!$D126,SUM('TCO TO BE- SW'!Z$37:Z$46)*VLOOKUP('TCO TO BE- SW'!Z$2,MODULY_CBA!$B$3:$L$23,11,0),0),0)</f>
        <v>0</v>
      </c>
    </row>
    <row r="127" spans="1:26" outlineLevel="2">
      <c r="A127" s="817"/>
      <c r="B127" s="818"/>
      <c r="C127" s="818"/>
      <c r="D127" s="64">
        <v>8</v>
      </c>
      <c r="E127" s="68">
        <f t="shared" si="14"/>
        <v>3159082.632374133</v>
      </c>
      <c r="F127" s="586">
        <f>IFERROR(IF(VLOOKUP(F$2,MODULY_CBA!$B$3:$N$23,13,0)&lt;='TCO TO BE- SW'!$D127,SUM('TCO TO BE- SW'!F$37:F$46)*VLOOKUP('TCO TO BE- SW'!F$2,MODULY_CBA!$B$3:$L$23,11,0),0),0)</f>
        <v>680259.04417288583</v>
      </c>
      <c r="G127" s="586">
        <f>IFERROR(IF(VLOOKUP(G$2,MODULY_CBA!$B$3:$N$23,13,0)&lt;='TCO TO BE- SW'!$D127,SUM('TCO TO BE- SW'!G$37:G$46)*VLOOKUP('TCO TO BE- SW'!G$2,MODULY_CBA!$B$3:$L$23,11,0),0),0)</f>
        <v>48079.652396950092</v>
      </c>
      <c r="H127" s="586">
        <f>IFERROR(IF(VLOOKUP(H$2,MODULY_CBA!$B$3:$N$23,13,0)&lt;='TCO TO BE- SW'!$D127,SUM('TCO TO BE- SW'!H$37:H$46)*VLOOKUP('TCO TO BE- SW'!H$2,MODULY_CBA!$B$3:$L$23,11,0),0),0)</f>
        <v>46945.698330984291</v>
      </c>
      <c r="I127" s="586">
        <f>IFERROR(IF(VLOOKUP(I$2,MODULY_CBA!$B$3:$N$23,13,0)&lt;='TCO TO BE- SW'!$D127,SUM('TCO TO BE- SW'!I$37:I$46)*VLOOKUP('TCO TO BE- SW'!I$2,MODULY_CBA!$B$3:$L$23,11,0),0),0)</f>
        <v>28122.060835951939</v>
      </c>
      <c r="J127" s="586">
        <f>IFERROR(IF(VLOOKUP(J$2,MODULY_CBA!$B$3:$N$23,13,0)&lt;='TCO TO BE- SW'!$D127,SUM('TCO TO BE- SW'!J$37:J$46)*VLOOKUP('TCO TO BE- SW'!J$2,MODULY_CBA!$B$3:$L$23,11,0),0),0)</f>
        <v>46945.698330984291</v>
      </c>
      <c r="K127" s="586">
        <f>IFERROR(IF(VLOOKUP(K$2,MODULY_CBA!$B$3:$N$23,13,0)&lt;='TCO TO BE- SW'!$D127,SUM('TCO TO BE- SW'!K$37:K$46)*VLOOKUP('TCO TO BE- SW'!K$2,MODULY_CBA!$B$3:$L$23,11,0),0),0)</f>
        <v>9411.8187475161722</v>
      </c>
      <c r="L127" s="586">
        <f>IFERROR(IF(VLOOKUP(L$2,MODULY_CBA!$B$3:$N$23,13,0)&lt;='TCO TO BE- SW'!$D127,SUM('TCO TO BE- SW'!L$37:L$46)*VLOOKUP('TCO TO BE- SW'!L$2,MODULY_CBA!$B$3:$L$23,11,0),0),0)</f>
        <v>1087461.949261206</v>
      </c>
      <c r="M127" s="586">
        <f>IFERROR(IF(VLOOKUP(M$2,MODULY_CBA!$B$3:$N$23,13,0)&lt;='TCO TO BE- SW'!$D127,SUM('TCO TO BE- SW'!M$37:M$46)*VLOOKUP('TCO TO BE- SW'!M$2,MODULY_CBA!$B$3:$L$23,11,0),0),0)</f>
        <v>218172.76229182069</v>
      </c>
      <c r="N127" s="586">
        <f>IFERROR(IF(VLOOKUP(N$2,MODULY_CBA!$B$3:$N$23,13,0)&lt;='TCO TO BE- SW'!$D127,SUM('TCO TO BE- SW'!N$37:N$46)*VLOOKUP('TCO TO BE- SW'!N$2,MODULY_CBA!$B$3:$L$23,11,0),0),0)</f>
        <v>107952.42707994455</v>
      </c>
      <c r="O127" s="586">
        <f>IFERROR(IF(VLOOKUP(O$2,MODULY_CBA!$B$3:$N$23,13,0)&lt;='TCO TO BE- SW'!$D127,SUM('TCO TO BE- SW'!O$37:O$46)*VLOOKUP('TCO TO BE- SW'!O$2,MODULY_CBA!$B$3:$L$23,11,0),0),0)</f>
        <v>885731.52092588937</v>
      </c>
      <c r="P127" s="586">
        <f>IFERROR(IF(VLOOKUP(P$2,MODULY_CBA!$B$3:$N$23,13,0)&lt;='TCO TO BE- SW'!$D127,SUM('TCO TO BE- SW'!P$37:P$46)*VLOOKUP('TCO TO BE- SW'!P$2,MODULY_CBA!$B$3:$L$23,11,0),0),0)</f>
        <v>0</v>
      </c>
      <c r="Q127" s="586">
        <f>IFERROR(IF(VLOOKUP(Q$2,MODULY_CBA!$B$3:$N$23,13,0)&lt;='TCO TO BE- SW'!$D127,SUM('TCO TO BE- SW'!Q$37:Q$46)*VLOOKUP('TCO TO BE- SW'!Q$2,MODULY_CBA!$B$3:$L$23,11,0),0),0)</f>
        <v>0</v>
      </c>
      <c r="R127" s="586">
        <f>IFERROR(IF(VLOOKUP(R$2,MODULY_CBA!$B$3:$N$23,13,0)&lt;='TCO TO BE- SW'!$D127,SUM('TCO TO BE- SW'!R$37:R$46)*VLOOKUP('TCO TO BE- SW'!R$2,MODULY_CBA!$B$3:$L$23,11,0),0),0)</f>
        <v>0</v>
      </c>
      <c r="S127" s="586">
        <f>IFERROR(IF(VLOOKUP(S$2,MODULY_CBA!$B$3:$N$23,13,0)&lt;='TCO TO BE- SW'!$D127,SUM('TCO TO BE- SW'!S$37:S$46)*VLOOKUP('TCO TO BE- SW'!S$2,MODULY_CBA!$B$3:$L$23,11,0),0),0)</f>
        <v>0</v>
      </c>
      <c r="T127" s="586">
        <f>IFERROR(IF(VLOOKUP(T$2,MODULY_CBA!$B$3:$N$23,13,0)&lt;='TCO TO BE- SW'!$D127,SUM('TCO TO BE- SW'!T$37:T$46)*VLOOKUP('TCO TO BE- SW'!T$2,MODULY_CBA!$B$3:$L$23,11,0),0),0)</f>
        <v>0</v>
      </c>
      <c r="U127" s="586">
        <f>IFERROR(IF(VLOOKUP(U$2,MODULY_CBA!$B$3:$N$23,13,0)&lt;='TCO TO BE- SW'!$D127,SUM('TCO TO BE- SW'!U$37:U$46)*VLOOKUP('TCO TO BE- SW'!U$2,MODULY_CBA!$B$3:$L$23,11,0),0),0)</f>
        <v>0</v>
      </c>
      <c r="V127" s="586">
        <f>IFERROR(IF(VLOOKUP(V$2,MODULY_CBA!$B$3:$N$23,13,0)&lt;='TCO TO BE- SW'!$D127,SUM('TCO TO BE- SW'!V$37:V$46)*VLOOKUP('TCO TO BE- SW'!V$2,MODULY_CBA!$B$3:$L$23,11,0),0),0)</f>
        <v>0</v>
      </c>
      <c r="W127" s="586">
        <f>IFERROR(IF(VLOOKUP(W$2,MODULY_CBA!$B$3:$N$23,13,0)&lt;='TCO TO BE- SW'!$D127,SUM('TCO TO BE- SW'!W$37:W$46)*VLOOKUP('TCO TO BE- SW'!W$2,MODULY_CBA!$B$3:$L$23,11,0),0),0)</f>
        <v>0</v>
      </c>
      <c r="X127" s="586">
        <f>IFERROR(IF(VLOOKUP(X$2,MODULY_CBA!$B$3:$N$23,13,0)&lt;='TCO TO BE- SW'!$D127,SUM('TCO TO BE- SW'!X$37:X$46)*VLOOKUP('TCO TO BE- SW'!X$2,MODULY_CBA!$B$3:$L$23,11,0),0),0)</f>
        <v>0</v>
      </c>
      <c r="Y127" s="586">
        <f>IFERROR(IF(VLOOKUP(Y$2,MODULY_CBA!$B$3:$N$23,13,0)&lt;='TCO TO BE- SW'!$D127,SUM('TCO TO BE- SW'!Y$37:Y$46)*VLOOKUP('TCO TO BE- SW'!Y$2,MODULY_CBA!$B$3:$L$23,11,0),0),0)</f>
        <v>0</v>
      </c>
      <c r="Z127" s="586">
        <f>IFERROR(IF(VLOOKUP(Z$2,MODULY_CBA!$B$3:$N$23,13,0)&lt;='TCO TO BE- SW'!$D127,SUM('TCO TO BE- SW'!Z$37:Z$46)*VLOOKUP('TCO TO BE- SW'!Z$2,MODULY_CBA!$B$3:$L$23,11,0),0),0)</f>
        <v>0</v>
      </c>
    </row>
    <row r="128" spans="1:26" outlineLevel="2">
      <c r="A128" s="817"/>
      <c r="B128" s="818"/>
      <c r="C128" s="818"/>
      <c r="D128" s="64">
        <v>9</v>
      </c>
      <c r="E128" s="68">
        <f t="shared" si="14"/>
        <v>3159082.632374133</v>
      </c>
      <c r="F128" s="586">
        <f>IFERROR(IF(VLOOKUP(F$2,MODULY_CBA!$B$3:$N$23,13,0)&lt;='TCO TO BE- SW'!$D128,SUM('TCO TO BE- SW'!F$37:F$46)*VLOOKUP('TCO TO BE- SW'!F$2,MODULY_CBA!$B$3:$L$23,11,0),0),0)</f>
        <v>680259.04417288583</v>
      </c>
      <c r="G128" s="586">
        <f>IFERROR(IF(VLOOKUP(G$2,MODULY_CBA!$B$3:$N$23,13,0)&lt;='TCO TO BE- SW'!$D128,SUM('TCO TO BE- SW'!G$37:G$46)*VLOOKUP('TCO TO BE- SW'!G$2,MODULY_CBA!$B$3:$L$23,11,0),0),0)</f>
        <v>48079.652396950092</v>
      </c>
      <c r="H128" s="586">
        <f>IFERROR(IF(VLOOKUP(H$2,MODULY_CBA!$B$3:$N$23,13,0)&lt;='TCO TO BE- SW'!$D128,SUM('TCO TO BE- SW'!H$37:H$46)*VLOOKUP('TCO TO BE- SW'!H$2,MODULY_CBA!$B$3:$L$23,11,0),0),0)</f>
        <v>46945.698330984291</v>
      </c>
      <c r="I128" s="586">
        <f>IFERROR(IF(VLOOKUP(I$2,MODULY_CBA!$B$3:$N$23,13,0)&lt;='TCO TO BE- SW'!$D128,SUM('TCO TO BE- SW'!I$37:I$46)*VLOOKUP('TCO TO BE- SW'!I$2,MODULY_CBA!$B$3:$L$23,11,0),0),0)</f>
        <v>28122.060835951939</v>
      </c>
      <c r="J128" s="586">
        <f>IFERROR(IF(VLOOKUP(J$2,MODULY_CBA!$B$3:$N$23,13,0)&lt;='TCO TO BE- SW'!$D128,SUM('TCO TO BE- SW'!J$37:J$46)*VLOOKUP('TCO TO BE- SW'!J$2,MODULY_CBA!$B$3:$L$23,11,0),0),0)</f>
        <v>46945.698330984291</v>
      </c>
      <c r="K128" s="586">
        <f>IFERROR(IF(VLOOKUP(K$2,MODULY_CBA!$B$3:$N$23,13,0)&lt;='TCO TO BE- SW'!$D128,SUM('TCO TO BE- SW'!K$37:K$46)*VLOOKUP('TCO TO BE- SW'!K$2,MODULY_CBA!$B$3:$L$23,11,0),0),0)</f>
        <v>9411.8187475161722</v>
      </c>
      <c r="L128" s="586">
        <f>IFERROR(IF(VLOOKUP(L$2,MODULY_CBA!$B$3:$N$23,13,0)&lt;='TCO TO BE- SW'!$D128,SUM('TCO TO BE- SW'!L$37:L$46)*VLOOKUP('TCO TO BE- SW'!L$2,MODULY_CBA!$B$3:$L$23,11,0),0),0)</f>
        <v>1087461.949261206</v>
      </c>
      <c r="M128" s="586">
        <f>IFERROR(IF(VLOOKUP(M$2,MODULY_CBA!$B$3:$N$23,13,0)&lt;='TCO TO BE- SW'!$D128,SUM('TCO TO BE- SW'!M$37:M$46)*VLOOKUP('TCO TO BE- SW'!M$2,MODULY_CBA!$B$3:$L$23,11,0),0),0)</f>
        <v>218172.76229182069</v>
      </c>
      <c r="N128" s="586">
        <f>IFERROR(IF(VLOOKUP(N$2,MODULY_CBA!$B$3:$N$23,13,0)&lt;='TCO TO BE- SW'!$D128,SUM('TCO TO BE- SW'!N$37:N$46)*VLOOKUP('TCO TO BE- SW'!N$2,MODULY_CBA!$B$3:$L$23,11,0),0),0)</f>
        <v>107952.42707994455</v>
      </c>
      <c r="O128" s="586">
        <f>IFERROR(IF(VLOOKUP(O$2,MODULY_CBA!$B$3:$N$23,13,0)&lt;='TCO TO BE- SW'!$D128,SUM('TCO TO BE- SW'!O$37:O$46)*VLOOKUP('TCO TO BE- SW'!O$2,MODULY_CBA!$B$3:$L$23,11,0),0),0)</f>
        <v>885731.52092588937</v>
      </c>
      <c r="P128" s="586">
        <f>IFERROR(IF(VLOOKUP(P$2,MODULY_CBA!$B$3:$N$23,13,0)&lt;='TCO TO BE- SW'!$D128,SUM('TCO TO BE- SW'!P$37:P$46)*VLOOKUP('TCO TO BE- SW'!P$2,MODULY_CBA!$B$3:$L$23,11,0),0),0)</f>
        <v>0</v>
      </c>
      <c r="Q128" s="586">
        <f>IFERROR(IF(VLOOKUP(Q$2,MODULY_CBA!$B$3:$N$23,13,0)&lt;='TCO TO BE- SW'!$D128,SUM('TCO TO BE- SW'!Q$37:Q$46)*VLOOKUP('TCO TO BE- SW'!Q$2,MODULY_CBA!$B$3:$L$23,11,0),0),0)</f>
        <v>0</v>
      </c>
      <c r="R128" s="586">
        <f>IFERROR(IF(VLOOKUP(R$2,MODULY_CBA!$B$3:$N$23,13,0)&lt;='TCO TO BE- SW'!$D128,SUM('TCO TO BE- SW'!R$37:R$46)*VLOOKUP('TCO TO BE- SW'!R$2,MODULY_CBA!$B$3:$L$23,11,0),0),0)</f>
        <v>0</v>
      </c>
      <c r="S128" s="586">
        <f>IFERROR(IF(VLOOKUP(S$2,MODULY_CBA!$B$3:$N$23,13,0)&lt;='TCO TO BE- SW'!$D128,SUM('TCO TO BE- SW'!S$37:S$46)*VLOOKUP('TCO TO BE- SW'!S$2,MODULY_CBA!$B$3:$L$23,11,0),0),0)</f>
        <v>0</v>
      </c>
      <c r="T128" s="586">
        <f>IFERROR(IF(VLOOKUP(T$2,MODULY_CBA!$B$3:$N$23,13,0)&lt;='TCO TO BE- SW'!$D128,SUM('TCO TO BE- SW'!T$37:T$46)*VLOOKUP('TCO TO BE- SW'!T$2,MODULY_CBA!$B$3:$L$23,11,0),0),0)</f>
        <v>0</v>
      </c>
      <c r="U128" s="586">
        <f>IFERROR(IF(VLOOKUP(U$2,MODULY_CBA!$B$3:$N$23,13,0)&lt;='TCO TO BE- SW'!$D128,SUM('TCO TO BE- SW'!U$37:U$46)*VLOOKUP('TCO TO BE- SW'!U$2,MODULY_CBA!$B$3:$L$23,11,0),0),0)</f>
        <v>0</v>
      </c>
      <c r="V128" s="586">
        <f>IFERROR(IF(VLOOKUP(V$2,MODULY_CBA!$B$3:$N$23,13,0)&lt;='TCO TO BE- SW'!$D128,SUM('TCO TO BE- SW'!V$37:V$46)*VLOOKUP('TCO TO BE- SW'!V$2,MODULY_CBA!$B$3:$L$23,11,0),0),0)</f>
        <v>0</v>
      </c>
      <c r="W128" s="586">
        <f>IFERROR(IF(VLOOKUP(W$2,MODULY_CBA!$B$3:$N$23,13,0)&lt;='TCO TO BE- SW'!$D128,SUM('TCO TO BE- SW'!W$37:W$46)*VLOOKUP('TCO TO BE- SW'!W$2,MODULY_CBA!$B$3:$L$23,11,0),0),0)</f>
        <v>0</v>
      </c>
      <c r="X128" s="586">
        <f>IFERROR(IF(VLOOKUP(X$2,MODULY_CBA!$B$3:$N$23,13,0)&lt;='TCO TO BE- SW'!$D128,SUM('TCO TO BE- SW'!X$37:X$46)*VLOOKUP('TCO TO BE- SW'!X$2,MODULY_CBA!$B$3:$L$23,11,0),0),0)</f>
        <v>0</v>
      </c>
      <c r="Y128" s="586">
        <f>IFERROR(IF(VLOOKUP(Y$2,MODULY_CBA!$B$3:$N$23,13,0)&lt;='TCO TO BE- SW'!$D128,SUM('TCO TO BE- SW'!Y$37:Y$46)*VLOOKUP('TCO TO BE- SW'!Y$2,MODULY_CBA!$B$3:$L$23,11,0),0),0)</f>
        <v>0</v>
      </c>
      <c r="Z128" s="586">
        <f>IFERROR(IF(VLOOKUP(Z$2,MODULY_CBA!$B$3:$N$23,13,0)&lt;='TCO TO BE- SW'!$D128,SUM('TCO TO BE- SW'!Z$37:Z$46)*VLOOKUP('TCO TO BE- SW'!Z$2,MODULY_CBA!$B$3:$L$23,11,0),0),0)</f>
        <v>0</v>
      </c>
    </row>
    <row r="129" spans="1:27" ht="15.75" outlineLevel="2" thickBot="1">
      <c r="A129" s="817"/>
      <c r="B129" s="818"/>
      <c r="C129" s="818"/>
      <c r="D129" s="65">
        <v>10</v>
      </c>
      <c r="E129" s="69">
        <f t="shared" si="14"/>
        <v>3159082.632374133</v>
      </c>
      <c r="F129" s="586">
        <f>IFERROR(IF(VLOOKUP(F$2,MODULY_CBA!$B$3:$N$23,13,0)&lt;='TCO TO BE- SW'!$D129,SUM('TCO TO BE- SW'!F$37:F$46)*VLOOKUP('TCO TO BE- SW'!F$2,MODULY_CBA!$B$3:$L$23,11,0),0),0)</f>
        <v>680259.04417288583</v>
      </c>
      <c r="G129" s="586">
        <f>IFERROR(IF(VLOOKUP(G$2,MODULY_CBA!$B$3:$N$23,13,0)&lt;='TCO TO BE- SW'!$D129,SUM('TCO TO BE- SW'!G$37:G$46)*VLOOKUP('TCO TO BE- SW'!G$2,MODULY_CBA!$B$3:$L$23,11,0),0),0)</f>
        <v>48079.652396950092</v>
      </c>
      <c r="H129" s="586">
        <f>IFERROR(IF(VLOOKUP(H$2,MODULY_CBA!$B$3:$N$23,13,0)&lt;='TCO TO BE- SW'!$D129,SUM('TCO TO BE- SW'!H$37:H$46)*VLOOKUP('TCO TO BE- SW'!H$2,MODULY_CBA!$B$3:$L$23,11,0),0),0)</f>
        <v>46945.698330984291</v>
      </c>
      <c r="I129" s="586">
        <f>IFERROR(IF(VLOOKUP(I$2,MODULY_CBA!$B$3:$N$23,13,0)&lt;='TCO TO BE- SW'!$D129,SUM('TCO TO BE- SW'!I$37:I$46)*VLOOKUP('TCO TO BE- SW'!I$2,MODULY_CBA!$B$3:$L$23,11,0),0),0)</f>
        <v>28122.060835951939</v>
      </c>
      <c r="J129" s="586">
        <f>IFERROR(IF(VLOOKUP(J$2,MODULY_CBA!$B$3:$N$23,13,0)&lt;='TCO TO BE- SW'!$D129,SUM('TCO TO BE- SW'!J$37:J$46)*VLOOKUP('TCO TO BE- SW'!J$2,MODULY_CBA!$B$3:$L$23,11,0),0),0)</f>
        <v>46945.698330984291</v>
      </c>
      <c r="K129" s="586">
        <f>IFERROR(IF(VLOOKUP(K$2,MODULY_CBA!$B$3:$N$23,13,0)&lt;='TCO TO BE- SW'!$D129,SUM('TCO TO BE- SW'!K$37:K$46)*VLOOKUP('TCO TO BE- SW'!K$2,MODULY_CBA!$B$3:$L$23,11,0),0),0)</f>
        <v>9411.8187475161722</v>
      </c>
      <c r="L129" s="586">
        <f>IFERROR(IF(VLOOKUP(L$2,MODULY_CBA!$B$3:$N$23,13,0)&lt;='TCO TO BE- SW'!$D129,SUM('TCO TO BE- SW'!L$37:L$46)*VLOOKUP('TCO TO BE- SW'!L$2,MODULY_CBA!$B$3:$L$23,11,0),0),0)</f>
        <v>1087461.949261206</v>
      </c>
      <c r="M129" s="586">
        <f>IFERROR(IF(VLOOKUP(M$2,MODULY_CBA!$B$3:$N$23,13,0)&lt;='TCO TO BE- SW'!$D129,SUM('TCO TO BE- SW'!M$37:M$46)*VLOOKUP('TCO TO BE- SW'!M$2,MODULY_CBA!$B$3:$L$23,11,0),0),0)</f>
        <v>218172.76229182069</v>
      </c>
      <c r="N129" s="586">
        <f>IFERROR(IF(VLOOKUP(N$2,MODULY_CBA!$B$3:$N$23,13,0)&lt;='TCO TO BE- SW'!$D129,SUM('TCO TO BE- SW'!N$37:N$46)*VLOOKUP('TCO TO BE- SW'!N$2,MODULY_CBA!$B$3:$L$23,11,0),0),0)</f>
        <v>107952.42707994455</v>
      </c>
      <c r="O129" s="586">
        <f>IFERROR(IF(VLOOKUP(O$2,MODULY_CBA!$B$3:$N$23,13,0)&lt;='TCO TO BE- SW'!$D129,SUM('TCO TO BE- SW'!O$37:O$46)*VLOOKUP('TCO TO BE- SW'!O$2,MODULY_CBA!$B$3:$L$23,11,0),0),0)</f>
        <v>885731.52092588937</v>
      </c>
      <c r="P129" s="586">
        <f>IFERROR(IF(VLOOKUP(P$2,MODULY_CBA!$B$3:$N$23,13,0)&lt;='TCO TO BE- SW'!$D129,SUM('TCO TO BE- SW'!P$37:P$46)*VLOOKUP('TCO TO BE- SW'!P$2,MODULY_CBA!$B$3:$L$23,11,0),0),0)</f>
        <v>0</v>
      </c>
      <c r="Q129" s="586">
        <f>IFERROR(IF(VLOOKUP(Q$2,MODULY_CBA!$B$3:$N$23,13,0)&lt;='TCO TO BE- SW'!$D129,SUM('TCO TO BE- SW'!Q$37:Q$46)*VLOOKUP('TCO TO BE- SW'!Q$2,MODULY_CBA!$B$3:$L$23,11,0),0),0)</f>
        <v>0</v>
      </c>
      <c r="R129" s="586">
        <f>IFERROR(IF(VLOOKUP(R$2,MODULY_CBA!$B$3:$N$23,13,0)&lt;='TCO TO BE- SW'!$D129,SUM('TCO TO BE- SW'!R$37:R$46)*VLOOKUP('TCO TO BE- SW'!R$2,MODULY_CBA!$B$3:$L$23,11,0),0),0)</f>
        <v>0</v>
      </c>
      <c r="S129" s="586">
        <f>IFERROR(IF(VLOOKUP(S$2,MODULY_CBA!$B$3:$N$23,13,0)&lt;='TCO TO BE- SW'!$D129,SUM('TCO TO BE- SW'!S$37:S$46)*VLOOKUP('TCO TO BE- SW'!S$2,MODULY_CBA!$B$3:$L$23,11,0),0),0)</f>
        <v>0</v>
      </c>
      <c r="T129" s="586">
        <f>IFERROR(IF(VLOOKUP(T$2,MODULY_CBA!$B$3:$N$23,13,0)&lt;='TCO TO BE- SW'!$D129,SUM('TCO TO BE- SW'!T$37:T$46)*VLOOKUP('TCO TO BE- SW'!T$2,MODULY_CBA!$B$3:$L$23,11,0),0),0)</f>
        <v>0</v>
      </c>
      <c r="U129" s="586">
        <f>IFERROR(IF(VLOOKUP(U$2,MODULY_CBA!$B$3:$N$23,13,0)&lt;='TCO TO BE- SW'!$D129,SUM('TCO TO BE- SW'!U$37:U$46)*VLOOKUP('TCO TO BE- SW'!U$2,MODULY_CBA!$B$3:$L$23,11,0),0),0)</f>
        <v>0</v>
      </c>
      <c r="V129" s="586">
        <f>IFERROR(IF(VLOOKUP(V$2,MODULY_CBA!$B$3:$N$23,13,0)&lt;='TCO TO BE- SW'!$D129,SUM('TCO TO BE- SW'!V$37:V$46)*VLOOKUP('TCO TO BE- SW'!V$2,MODULY_CBA!$B$3:$L$23,11,0),0),0)</f>
        <v>0</v>
      </c>
      <c r="W129" s="586">
        <f>IFERROR(IF(VLOOKUP(W$2,MODULY_CBA!$B$3:$N$23,13,0)&lt;='TCO TO BE- SW'!$D129,SUM('TCO TO BE- SW'!W$37:W$46)*VLOOKUP('TCO TO BE- SW'!W$2,MODULY_CBA!$B$3:$L$23,11,0),0),0)</f>
        <v>0</v>
      </c>
      <c r="X129" s="586">
        <f>IFERROR(IF(VLOOKUP(X$2,MODULY_CBA!$B$3:$N$23,13,0)&lt;='TCO TO BE- SW'!$D129,SUM('TCO TO BE- SW'!X$37:X$46)*VLOOKUP('TCO TO BE- SW'!X$2,MODULY_CBA!$B$3:$L$23,11,0),0),0)</f>
        <v>0</v>
      </c>
      <c r="Y129" s="586">
        <f>IFERROR(IF(VLOOKUP(Y$2,MODULY_CBA!$B$3:$N$23,13,0)&lt;='TCO TO BE- SW'!$D129,SUM('TCO TO BE- SW'!Y$37:Y$46)*VLOOKUP('TCO TO BE- SW'!Y$2,MODULY_CBA!$B$3:$L$23,11,0),0),0)</f>
        <v>0</v>
      </c>
      <c r="Z129" s="586">
        <f>IFERROR(IF(VLOOKUP(Z$2,MODULY_CBA!$B$3:$N$23,13,0)&lt;='TCO TO BE- SW'!$D129,SUM('TCO TO BE- SW'!Z$37:Z$46)*VLOOKUP('TCO TO BE- SW'!Z$2,MODULY_CBA!$B$3:$L$23,11,0),0),0)</f>
        <v>0</v>
      </c>
    </row>
    <row r="130" spans="1:27" outlineLevel="2">
      <c r="A130" s="817" t="s">
        <v>1503</v>
      </c>
      <c r="B130" s="818" t="s">
        <v>1504</v>
      </c>
      <c r="C130" s="818">
        <v>610</v>
      </c>
      <c r="D130" s="63">
        <v>1</v>
      </c>
      <c r="E130" s="68">
        <f t="shared" si="14"/>
        <v>0</v>
      </c>
      <c r="F130" s="576">
        <v>0</v>
      </c>
      <c r="G130" s="576">
        <v>0</v>
      </c>
      <c r="H130" s="576">
        <v>0</v>
      </c>
      <c r="I130" s="576">
        <v>0</v>
      </c>
      <c r="J130" s="576">
        <v>0</v>
      </c>
      <c r="K130" s="576">
        <v>0</v>
      </c>
      <c r="L130" s="576">
        <v>0</v>
      </c>
      <c r="M130" s="576">
        <v>0</v>
      </c>
      <c r="N130" s="576">
        <v>0</v>
      </c>
      <c r="O130" s="576">
        <v>0</v>
      </c>
      <c r="P130" s="576">
        <v>0</v>
      </c>
      <c r="Q130" s="576">
        <v>0</v>
      </c>
      <c r="R130" s="576">
        <v>0</v>
      </c>
      <c r="S130" s="576">
        <v>0</v>
      </c>
      <c r="T130" s="576">
        <v>0</v>
      </c>
      <c r="U130" s="576">
        <v>0</v>
      </c>
      <c r="V130" s="576">
        <v>0</v>
      </c>
      <c r="W130" s="576">
        <v>0</v>
      </c>
      <c r="X130" s="576">
        <v>0</v>
      </c>
      <c r="Y130" s="576">
        <v>0</v>
      </c>
      <c r="Z130" s="576">
        <v>0</v>
      </c>
    </row>
    <row r="131" spans="1:27" outlineLevel="2">
      <c r="A131" s="817"/>
      <c r="B131" s="818"/>
      <c r="C131" s="818"/>
      <c r="D131" s="64">
        <v>2</v>
      </c>
      <c r="E131" s="68">
        <f t="shared" si="14"/>
        <v>0</v>
      </c>
      <c r="F131" s="577">
        <v>0</v>
      </c>
      <c r="G131" s="577">
        <v>0</v>
      </c>
      <c r="H131" s="577">
        <v>0</v>
      </c>
      <c r="I131" s="577">
        <v>0</v>
      </c>
      <c r="J131" s="577">
        <v>0</v>
      </c>
      <c r="K131" s="577">
        <v>0</v>
      </c>
      <c r="L131" s="577">
        <v>0</v>
      </c>
      <c r="M131" s="577">
        <v>0</v>
      </c>
      <c r="N131" s="577">
        <v>0</v>
      </c>
      <c r="O131" s="577">
        <v>0</v>
      </c>
      <c r="P131" s="577">
        <v>0</v>
      </c>
      <c r="Q131" s="577">
        <v>0</v>
      </c>
      <c r="R131" s="577">
        <v>0</v>
      </c>
      <c r="S131" s="577">
        <v>0</v>
      </c>
      <c r="T131" s="577">
        <v>0</v>
      </c>
      <c r="U131" s="577">
        <v>0</v>
      </c>
      <c r="V131" s="577">
        <v>0</v>
      </c>
      <c r="W131" s="577">
        <v>0</v>
      </c>
      <c r="X131" s="577">
        <v>0</v>
      </c>
      <c r="Y131" s="577">
        <v>0</v>
      </c>
      <c r="Z131" s="577">
        <v>0</v>
      </c>
    </row>
    <row r="132" spans="1:27" outlineLevel="2">
      <c r="A132" s="817"/>
      <c r="B132" s="818"/>
      <c r="C132" s="818"/>
      <c r="D132" s="64">
        <v>3</v>
      </c>
      <c r="E132" s="68">
        <f t="shared" si="14"/>
        <v>0</v>
      </c>
      <c r="F132" s="577">
        <v>0</v>
      </c>
      <c r="G132" s="577">
        <v>0</v>
      </c>
      <c r="H132" s="577">
        <v>0</v>
      </c>
      <c r="I132" s="577">
        <v>0</v>
      </c>
      <c r="J132" s="577">
        <v>0</v>
      </c>
      <c r="K132" s="577">
        <v>0</v>
      </c>
      <c r="L132" s="577">
        <v>0</v>
      </c>
      <c r="M132" s="577">
        <v>0</v>
      </c>
      <c r="N132" s="577">
        <v>0</v>
      </c>
      <c r="O132" s="577">
        <v>0</v>
      </c>
      <c r="P132" s="577">
        <v>0</v>
      </c>
      <c r="Q132" s="577">
        <v>0</v>
      </c>
      <c r="R132" s="577">
        <v>0</v>
      </c>
      <c r="S132" s="577">
        <v>0</v>
      </c>
      <c r="T132" s="577">
        <v>0</v>
      </c>
      <c r="U132" s="577">
        <v>0</v>
      </c>
      <c r="V132" s="577">
        <v>0</v>
      </c>
      <c r="W132" s="577">
        <v>0</v>
      </c>
      <c r="X132" s="577">
        <v>0</v>
      </c>
      <c r="Y132" s="577">
        <v>0</v>
      </c>
      <c r="Z132" s="577">
        <v>0</v>
      </c>
    </row>
    <row r="133" spans="1:27" outlineLevel="2">
      <c r="A133" s="817"/>
      <c r="B133" s="818"/>
      <c r="C133" s="818"/>
      <c r="D133" s="64">
        <v>4</v>
      </c>
      <c r="E133" s="68">
        <f t="shared" si="14"/>
        <v>0</v>
      </c>
      <c r="F133" s="577">
        <v>0</v>
      </c>
      <c r="G133" s="577">
        <v>0</v>
      </c>
      <c r="H133" s="577">
        <v>0</v>
      </c>
      <c r="I133" s="577">
        <v>0</v>
      </c>
      <c r="J133" s="577">
        <v>0</v>
      </c>
      <c r="K133" s="577">
        <v>0</v>
      </c>
      <c r="L133" s="577">
        <v>0</v>
      </c>
      <c r="M133" s="577">
        <v>0</v>
      </c>
      <c r="N133" s="577">
        <v>0</v>
      </c>
      <c r="O133" s="577">
        <v>0</v>
      </c>
      <c r="P133" s="577">
        <v>0</v>
      </c>
      <c r="Q133" s="577">
        <v>0</v>
      </c>
      <c r="R133" s="577">
        <v>0</v>
      </c>
      <c r="S133" s="577">
        <v>0</v>
      </c>
      <c r="T133" s="577">
        <v>0</v>
      </c>
      <c r="U133" s="577">
        <v>0</v>
      </c>
      <c r="V133" s="577">
        <v>0</v>
      </c>
      <c r="W133" s="577">
        <v>0</v>
      </c>
      <c r="X133" s="577">
        <v>0</v>
      </c>
      <c r="Y133" s="577">
        <v>0</v>
      </c>
      <c r="Z133" s="577">
        <v>0</v>
      </c>
    </row>
    <row r="134" spans="1:27" outlineLevel="2">
      <c r="A134" s="817"/>
      <c r="B134" s="818"/>
      <c r="C134" s="818"/>
      <c r="D134" s="64">
        <v>5</v>
      </c>
      <c r="E134" s="68">
        <f t="shared" si="14"/>
        <v>0</v>
      </c>
      <c r="F134" s="577">
        <v>0</v>
      </c>
      <c r="G134" s="577">
        <v>0</v>
      </c>
      <c r="H134" s="577">
        <v>0</v>
      </c>
      <c r="I134" s="577">
        <v>0</v>
      </c>
      <c r="J134" s="577">
        <v>0</v>
      </c>
      <c r="K134" s="577">
        <v>0</v>
      </c>
      <c r="L134" s="577">
        <v>0</v>
      </c>
      <c r="M134" s="577">
        <v>0</v>
      </c>
      <c r="N134" s="577">
        <v>0</v>
      </c>
      <c r="O134" s="577">
        <v>0</v>
      </c>
      <c r="P134" s="577">
        <v>0</v>
      </c>
      <c r="Q134" s="577">
        <v>0</v>
      </c>
      <c r="R134" s="577">
        <v>0</v>
      </c>
      <c r="S134" s="577">
        <v>0</v>
      </c>
      <c r="T134" s="577">
        <v>0</v>
      </c>
      <c r="U134" s="577">
        <v>0</v>
      </c>
      <c r="V134" s="577">
        <v>0</v>
      </c>
      <c r="W134" s="577">
        <v>0</v>
      </c>
      <c r="X134" s="577">
        <v>0</v>
      </c>
      <c r="Y134" s="577">
        <v>0</v>
      </c>
      <c r="Z134" s="577">
        <v>0</v>
      </c>
    </row>
    <row r="135" spans="1:27" outlineLevel="2">
      <c r="A135" s="817"/>
      <c r="B135" s="818"/>
      <c r="C135" s="818"/>
      <c r="D135" s="64">
        <v>6</v>
      </c>
      <c r="E135" s="68">
        <f t="shared" si="14"/>
        <v>0</v>
      </c>
      <c r="F135" s="577">
        <v>0</v>
      </c>
      <c r="G135" s="577">
        <v>0</v>
      </c>
      <c r="H135" s="577">
        <v>0</v>
      </c>
      <c r="I135" s="577">
        <v>0</v>
      </c>
      <c r="J135" s="577">
        <v>0</v>
      </c>
      <c r="K135" s="577">
        <v>0</v>
      </c>
      <c r="L135" s="577">
        <v>0</v>
      </c>
      <c r="M135" s="577">
        <v>0</v>
      </c>
      <c r="N135" s="577">
        <v>0</v>
      </c>
      <c r="O135" s="577">
        <v>0</v>
      </c>
      <c r="P135" s="577">
        <v>0</v>
      </c>
      <c r="Q135" s="577">
        <v>0</v>
      </c>
      <c r="R135" s="577">
        <v>0</v>
      </c>
      <c r="S135" s="577">
        <v>0</v>
      </c>
      <c r="T135" s="577">
        <v>0</v>
      </c>
      <c r="U135" s="577">
        <v>0</v>
      </c>
      <c r="V135" s="577">
        <v>0</v>
      </c>
      <c r="W135" s="577">
        <v>0</v>
      </c>
      <c r="X135" s="577">
        <v>0</v>
      </c>
      <c r="Y135" s="577">
        <v>0</v>
      </c>
      <c r="Z135" s="577">
        <v>0</v>
      </c>
    </row>
    <row r="136" spans="1:27" outlineLevel="2">
      <c r="A136" s="817"/>
      <c r="B136" s="818"/>
      <c r="C136" s="818"/>
      <c r="D136" s="64">
        <v>7</v>
      </c>
      <c r="E136" s="68">
        <f t="shared" si="14"/>
        <v>0</v>
      </c>
      <c r="F136" s="577">
        <v>0</v>
      </c>
      <c r="G136" s="577">
        <v>0</v>
      </c>
      <c r="H136" s="577">
        <v>0</v>
      </c>
      <c r="I136" s="577">
        <v>0</v>
      </c>
      <c r="J136" s="577">
        <v>0</v>
      </c>
      <c r="K136" s="577">
        <v>0</v>
      </c>
      <c r="L136" s="577">
        <v>0</v>
      </c>
      <c r="M136" s="577">
        <v>0</v>
      </c>
      <c r="N136" s="577">
        <v>0</v>
      </c>
      <c r="O136" s="577">
        <v>0</v>
      </c>
      <c r="P136" s="577">
        <v>0</v>
      </c>
      <c r="Q136" s="577">
        <v>0</v>
      </c>
      <c r="R136" s="577">
        <v>0</v>
      </c>
      <c r="S136" s="577">
        <v>0</v>
      </c>
      <c r="T136" s="577">
        <v>0</v>
      </c>
      <c r="U136" s="577">
        <v>0</v>
      </c>
      <c r="V136" s="577">
        <v>0</v>
      </c>
      <c r="W136" s="577">
        <v>0</v>
      </c>
      <c r="X136" s="577">
        <v>0</v>
      </c>
      <c r="Y136" s="577">
        <v>0</v>
      </c>
      <c r="Z136" s="577">
        <v>0</v>
      </c>
    </row>
    <row r="137" spans="1:27" outlineLevel="2">
      <c r="A137" s="817"/>
      <c r="B137" s="818"/>
      <c r="C137" s="818"/>
      <c r="D137" s="64">
        <v>8</v>
      </c>
      <c r="E137" s="68">
        <f t="shared" si="14"/>
        <v>0</v>
      </c>
      <c r="F137" s="577">
        <v>0</v>
      </c>
      <c r="G137" s="577">
        <v>0</v>
      </c>
      <c r="H137" s="577">
        <v>0</v>
      </c>
      <c r="I137" s="577">
        <v>0</v>
      </c>
      <c r="J137" s="577">
        <v>0</v>
      </c>
      <c r="K137" s="577">
        <v>0</v>
      </c>
      <c r="L137" s="577">
        <v>0</v>
      </c>
      <c r="M137" s="577">
        <v>0</v>
      </c>
      <c r="N137" s="577">
        <v>0</v>
      </c>
      <c r="O137" s="577">
        <v>0</v>
      </c>
      <c r="P137" s="577">
        <v>0</v>
      </c>
      <c r="Q137" s="577">
        <v>0</v>
      </c>
      <c r="R137" s="577">
        <v>0</v>
      </c>
      <c r="S137" s="577">
        <v>0</v>
      </c>
      <c r="T137" s="577">
        <v>0</v>
      </c>
      <c r="U137" s="577">
        <v>0</v>
      </c>
      <c r="V137" s="577">
        <v>0</v>
      </c>
      <c r="W137" s="577">
        <v>0</v>
      </c>
      <c r="X137" s="577">
        <v>0</v>
      </c>
      <c r="Y137" s="577">
        <v>0</v>
      </c>
      <c r="Z137" s="577">
        <v>0</v>
      </c>
    </row>
    <row r="138" spans="1:27" outlineLevel="2">
      <c r="A138" s="817"/>
      <c r="B138" s="818"/>
      <c r="C138" s="818"/>
      <c r="D138" s="64">
        <v>9</v>
      </c>
      <c r="E138" s="68">
        <f t="shared" si="14"/>
        <v>0</v>
      </c>
      <c r="F138" s="577">
        <v>0</v>
      </c>
      <c r="G138" s="577">
        <v>0</v>
      </c>
      <c r="H138" s="577">
        <v>0</v>
      </c>
      <c r="I138" s="577">
        <v>0</v>
      </c>
      <c r="J138" s="577">
        <v>0</v>
      </c>
      <c r="K138" s="577">
        <v>0</v>
      </c>
      <c r="L138" s="577">
        <v>0</v>
      </c>
      <c r="M138" s="577">
        <v>0</v>
      </c>
      <c r="N138" s="577">
        <v>0</v>
      </c>
      <c r="O138" s="577">
        <v>0</v>
      </c>
      <c r="P138" s="577">
        <v>0</v>
      </c>
      <c r="Q138" s="577">
        <v>0</v>
      </c>
      <c r="R138" s="577">
        <v>0</v>
      </c>
      <c r="S138" s="577">
        <v>0</v>
      </c>
      <c r="T138" s="577">
        <v>0</v>
      </c>
      <c r="U138" s="577">
        <v>0</v>
      </c>
      <c r="V138" s="577">
        <v>0</v>
      </c>
      <c r="W138" s="577">
        <v>0</v>
      </c>
      <c r="X138" s="577">
        <v>0</v>
      </c>
      <c r="Y138" s="577">
        <v>0</v>
      </c>
      <c r="Z138" s="577">
        <v>0</v>
      </c>
    </row>
    <row r="139" spans="1:27" ht="15.75" outlineLevel="2" thickBot="1">
      <c r="A139" s="817"/>
      <c r="B139" s="818"/>
      <c r="C139" s="818"/>
      <c r="D139" s="65">
        <v>10</v>
      </c>
      <c r="E139" s="69">
        <f t="shared" si="14"/>
        <v>0</v>
      </c>
      <c r="F139" s="577">
        <v>0</v>
      </c>
      <c r="G139" s="577">
        <v>0</v>
      </c>
      <c r="H139" s="577">
        <v>0</v>
      </c>
      <c r="I139" s="577">
        <v>0</v>
      </c>
      <c r="J139" s="577">
        <v>0</v>
      </c>
      <c r="K139" s="577">
        <v>0</v>
      </c>
      <c r="L139" s="577">
        <v>0</v>
      </c>
      <c r="M139" s="577">
        <v>0</v>
      </c>
      <c r="N139" s="577">
        <v>0</v>
      </c>
      <c r="O139" s="577">
        <v>0</v>
      </c>
      <c r="P139" s="577">
        <v>0</v>
      </c>
      <c r="Q139" s="577">
        <v>0</v>
      </c>
      <c r="R139" s="577">
        <v>0</v>
      </c>
      <c r="S139" s="577">
        <v>0</v>
      </c>
      <c r="T139" s="577">
        <v>0</v>
      </c>
      <c r="U139" s="577">
        <v>0</v>
      </c>
      <c r="V139" s="577">
        <v>0</v>
      </c>
      <c r="W139" s="577">
        <v>0</v>
      </c>
      <c r="X139" s="577">
        <v>0</v>
      </c>
      <c r="Y139" s="577">
        <v>0</v>
      </c>
      <c r="Z139" s="577">
        <v>0</v>
      </c>
      <c r="AA139" s="361"/>
    </row>
    <row r="140" spans="1:27" outlineLevel="2">
      <c r="A140" s="817" t="s">
        <v>1505</v>
      </c>
      <c r="B140" s="818" t="s">
        <v>1506</v>
      </c>
      <c r="C140" s="818">
        <v>637040</v>
      </c>
      <c r="D140" s="63">
        <v>1</v>
      </c>
      <c r="E140" s="68">
        <f t="shared" si="14"/>
        <v>0</v>
      </c>
      <c r="F140" s="576">
        <v>0</v>
      </c>
      <c r="G140" s="576">
        <v>0</v>
      </c>
      <c r="H140" s="576">
        <v>0</v>
      </c>
      <c r="I140" s="576">
        <v>0</v>
      </c>
      <c r="J140" s="576">
        <v>0</v>
      </c>
      <c r="K140" s="576">
        <v>0</v>
      </c>
      <c r="L140" s="576">
        <v>0</v>
      </c>
      <c r="M140" s="576">
        <v>0</v>
      </c>
      <c r="N140" s="576">
        <v>0</v>
      </c>
      <c r="O140" s="576">
        <v>0</v>
      </c>
      <c r="P140" s="576">
        <v>0</v>
      </c>
      <c r="Q140" s="576">
        <v>0</v>
      </c>
      <c r="R140" s="576">
        <v>0</v>
      </c>
      <c r="S140" s="576">
        <v>0</v>
      </c>
      <c r="T140" s="576">
        <v>0</v>
      </c>
      <c r="U140" s="576">
        <v>0</v>
      </c>
      <c r="V140" s="576">
        <v>0</v>
      </c>
      <c r="W140" s="576">
        <v>0</v>
      </c>
      <c r="X140" s="576">
        <v>0</v>
      </c>
      <c r="Y140" s="576">
        <v>0</v>
      </c>
      <c r="Z140" s="576">
        <v>0</v>
      </c>
    </row>
    <row r="141" spans="1:27" outlineLevel="2">
      <c r="A141" s="817"/>
      <c r="B141" s="818"/>
      <c r="C141" s="818"/>
      <c r="D141" s="64">
        <v>2</v>
      </c>
      <c r="E141" s="68">
        <f t="shared" si="14"/>
        <v>0</v>
      </c>
      <c r="F141" s="577">
        <v>0</v>
      </c>
      <c r="G141" s="577">
        <v>0</v>
      </c>
      <c r="H141" s="577">
        <v>0</v>
      </c>
      <c r="I141" s="577">
        <v>0</v>
      </c>
      <c r="J141" s="577">
        <v>0</v>
      </c>
      <c r="K141" s="577">
        <v>0</v>
      </c>
      <c r="L141" s="577">
        <v>0</v>
      </c>
      <c r="M141" s="577">
        <v>0</v>
      </c>
      <c r="N141" s="577">
        <v>0</v>
      </c>
      <c r="O141" s="577">
        <v>0</v>
      </c>
      <c r="P141" s="577">
        <v>0</v>
      </c>
      <c r="Q141" s="577">
        <v>0</v>
      </c>
      <c r="R141" s="577">
        <v>0</v>
      </c>
      <c r="S141" s="577">
        <v>0</v>
      </c>
      <c r="T141" s="577">
        <v>0</v>
      </c>
      <c r="U141" s="577">
        <v>0</v>
      </c>
      <c r="V141" s="577">
        <v>0</v>
      </c>
      <c r="W141" s="577">
        <v>0</v>
      </c>
      <c r="X141" s="577">
        <v>0</v>
      </c>
      <c r="Y141" s="577">
        <v>0</v>
      </c>
      <c r="Z141" s="577">
        <v>0</v>
      </c>
    </row>
    <row r="142" spans="1:27" outlineLevel="2">
      <c r="A142" s="817"/>
      <c r="B142" s="818"/>
      <c r="C142" s="818"/>
      <c r="D142" s="64">
        <v>3</v>
      </c>
      <c r="E142" s="68">
        <f t="shared" si="14"/>
        <v>0</v>
      </c>
      <c r="F142" s="577">
        <v>0</v>
      </c>
      <c r="G142" s="577">
        <v>0</v>
      </c>
      <c r="H142" s="577">
        <v>0</v>
      </c>
      <c r="I142" s="577">
        <v>0</v>
      </c>
      <c r="J142" s="577">
        <v>0</v>
      </c>
      <c r="K142" s="577">
        <v>0</v>
      </c>
      <c r="L142" s="577">
        <v>0</v>
      </c>
      <c r="M142" s="577">
        <v>0</v>
      </c>
      <c r="N142" s="577">
        <v>0</v>
      </c>
      <c r="O142" s="577">
        <v>0</v>
      </c>
      <c r="P142" s="577">
        <v>0</v>
      </c>
      <c r="Q142" s="577">
        <v>0</v>
      </c>
      <c r="R142" s="577">
        <v>0</v>
      </c>
      <c r="S142" s="577">
        <v>0</v>
      </c>
      <c r="T142" s="577">
        <v>0</v>
      </c>
      <c r="U142" s="577">
        <v>0</v>
      </c>
      <c r="V142" s="577">
        <v>0</v>
      </c>
      <c r="W142" s="577">
        <v>0</v>
      </c>
      <c r="X142" s="577">
        <v>0</v>
      </c>
      <c r="Y142" s="577">
        <v>0</v>
      </c>
      <c r="Z142" s="577">
        <v>0</v>
      </c>
    </row>
    <row r="143" spans="1:27" outlineLevel="2">
      <c r="A143" s="817"/>
      <c r="B143" s="818"/>
      <c r="C143" s="818"/>
      <c r="D143" s="64">
        <v>4</v>
      </c>
      <c r="E143" s="68">
        <f t="shared" si="14"/>
        <v>0</v>
      </c>
      <c r="F143" s="577">
        <v>0</v>
      </c>
      <c r="G143" s="577">
        <v>0</v>
      </c>
      <c r="H143" s="577">
        <v>0</v>
      </c>
      <c r="I143" s="577">
        <v>0</v>
      </c>
      <c r="J143" s="577">
        <v>0</v>
      </c>
      <c r="K143" s="577">
        <v>0</v>
      </c>
      <c r="L143" s="577">
        <v>0</v>
      </c>
      <c r="M143" s="577">
        <v>0</v>
      </c>
      <c r="N143" s="577">
        <v>0</v>
      </c>
      <c r="O143" s="577">
        <v>0</v>
      </c>
      <c r="P143" s="577">
        <v>0</v>
      </c>
      <c r="Q143" s="577">
        <v>0</v>
      </c>
      <c r="R143" s="577">
        <v>0</v>
      </c>
      <c r="S143" s="577">
        <v>0</v>
      </c>
      <c r="T143" s="577">
        <v>0</v>
      </c>
      <c r="U143" s="577">
        <v>0</v>
      </c>
      <c r="V143" s="577">
        <v>0</v>
      </c>
      <c r="W143" s="577">
        <v>0</v>
      </c>
      <c r="X143" s="577">
        <v>0</v>
      </c>
      <c r="Y143" s="577">
        <v>0</v>
      </c>
      <c r="Z143" s="577">
        <v>0</v>
      </c>
    </row>
    <row r="144" spans="1:27" outlineLevel="2">
      <c r="A144" s="817"/>
      <c r="B144" s="818"/>
      <c r="C144" s="818"/>
      <c r="D144" s="64">
        <v>5</v>
      </c>
      <c r="E144" s="68">
        <f t="shared" si="14"/>
        <v>0</v>
      </c>
      <c r="F144" s="577">
        <v>0</v>
      </c>
      <c r="G144" s="577">
        <v>0</v>
      </c>
      <c r="H144" s="577">
        <v>0</v>
      </c>
      <c r="I144" s="577">
        <v>0</v>
      </c>
      <c r="J144" s="577">
        <v>0</v>
      </c>
      <c r="K144" s="577">
        <v>0</v>
      </c>
      <c r="L144" s="577">
        <v>0</v>
      </c>
      <c r="M144" s="577">
        <v>0</v>
      </c>
      <c r="N144" s="577">
        <v>0</v>
      </c>
      <c r="O144" s="577">
        <v>0</v>
      </c>
      <c r="P144" s="577">
        <v>0</v>
      </c>
      <c r="Q144" s="577">
        <v>0</v>
      </c>
      <c r="R144" s="577">
        <v>0</v>
      </c>
      <c r="S144" s="577">
        <v>0</v>
      </c>
      <c r="T144" s="577">
        <v>0</v>
      </c>
      <c r="U144" s="577">
        <v>0</v>
      </c>
      <c r="V144" s="577">
        <v>0</v>
      </c>
      <c r="W144" s="577">
        <v>0</v>
      </c>
      <c r="X144" s="577">
        <v>0</v>
      </c>
      <c r="Y144" s="577">
        <v>0</v>
      </c>
      <c r="Z144" s="577">
        <v>0</v>
      </c>
    </row>
    <row r="145" spans="1:26" outlineLevel="2">
      <c r="A145" s="817"/>
      <c r="B145" s="818"/>
      <c r="C145" s="818"/>
      <c r="D145" s="64">
        <v>6</v>
      </c>
      <c r="E145" s="68">
        <f t="shared" si="14"/>
        <v>0</v>
      </c>
      <c r="F145" s="577">
        <v>0</v>
      </c>
      <c r="G145" s="577">
        <v>0</v>
      </c>
      <c r="H145" s="577">
        <v>0</v>
      </c>
      <c r="I145" s="577">
        <v>0</v>
      </c>
      <c r="J145" s="577">
        <v>0</v>
      </c>
      <c r="K145" s="577">
        <v>0</v>
      </c>
      <c r="L145" s="577">
        <v>0</v>
      </c>
      <c r="M145" s="577">
        <v>0</v>
      </c>
      <c r="N145" s="577">
        <v>0</v>
      </c>
      <c r="O145" s="577">
        <v>0</v>
      </c>
      <c r="P145" s="577">
        <v>0</v>
      </c>
      <c r="Q145" s="577">
        <v>0</v>
      </c>
      <c r="R145" s="577">
        <v>0</v>
      </c>
      <c r="S145" s="577">
        <v>0</v>
      </c>
      <c r="T145" s="577">
        <v>0</v>
      </c>
      <c r="U145" s="577">
        <v>0</v>
      </c>
      <c r="V145" s="577">
        <v>0</v>
      </c>
      <c r="W145" s="577">
        <v>0</v>
      </c>
      <c r="X145" s="577">
        <v>0</v>
      </c>
      <c r="Y145" s="577">
        <v>0</v>
      </c>
      <c r="Z145" s="577">
        <v>0</v>
      </c>
    </row>
    <row r="146" spans="1:26" outlineLevel="2">
      <c r="A146" s="817"/>
      <c r="B146" s="818"/>
      <c r="C146" s="818"/>
      <c r="D146" s="64">
        <v>7</v>
      </c>
      <c r="E146" s="68">
        <f t="shared" si="14"/>
        <v>0</v>
      </c>
      <c r="F146" s="577">
        <v>0</v>
      </c>
      <c r="G146" s="577">
        <v>0</v>
      </c>
      <c r="H146" s="577">
        <v>0</v>
      </c>
      <c r="I146" s="577">
        <v>0</v>
      </c>
      <c r="J146" s="577">
        <v>0</v>
      </c>
      <c r="K146" s="577">
        <v>0</v>
      </c>
      <c r="L146" s="577">
        <v>0</v>
      </c>
      <c r="M146" s="577">
        <v>0</v>
      </c>
      <c r="N146" s="577">
        <v>0</v>
      </c>
      <c r="O146" s="577">
        <v>0</v>
      </c>
      <c r="P146" s="577">
        <v>0</v>
      </c>
      <c r="Q146" s="577">
        <v>0</v>
      </c>
      <c r="R146" s="577">
        <v>0</v>
      </c>
      <c r="S146" s="577">
        <v>0</v>
      </c>
      <c r="T146" s="577">
        <v>0</v>
      </c>
      <c r="U146" s="577">
        <v>0</v>
      </c>
      <c r="V146" s="577">
        <v>0</v>
      </c>
      <c r="W146" s="577">
        <v>0</v>
      </c>
      <c r="X146" s="577">
        <v>0</v>
      </c>
      <c r="Y146" s="577">
        <v>0</v>
      </c>
      <c r="Z146" s="577">
        <v>0</v>
      </c>
    </row>
    <row r="147" spans="1:26" outlineLevel="2">
      <c r="A147" s="817"/>
      <c r="B147" s="818"/>
      <c r="C147" s="818"/>
      <c r="D147" s="64">
        <v>8</v>
      </c>
      <c r="E147" s="68">
        <f t="shared" si="14"/>
        <v>0</v>
      </c>
      <c r="F147" s="577">
        <v>0</v>
      </c>
      <c r="G147" s="577">
        <v>0</v>
      </c>
      <c r="H147" s="577">
        <v>0</v>
      </c>
      <c r="I147" s="577">
        <v>0</v>
      </c>
      <c r="J147" s="577">
        <v>0</v>
      </c>
      <c r="K147" s="577">
        <v>0</v>
      </c>
      <c r="L147" s="577">
        <v>0</v>
      </c>
      <c r="M147" s="577">
        <v>0</v>
      </c>
      <c r="N147" s="577">
        <v>0</v>
      </c>
      <c r="O147" s="577">
        <v>0</v>
      </c>
      <c r="P147" s="577">
        <v>0</v>
      </c>
      <c r="Q147" s="577">
        <v>0</v>
      </c>
      <c r="R147" s="577">
        <v>0</v>
      </c>
      <c r="S147" s="577">
        <v>0</v>
      </c>
      <c r="T147" s="577">
        <v>0</v>
      </c>
      <c r="U147" s="577">
        <v>0</v>
      </c>
      <c r="V147" s="577">
        <v>0</v>
      </c>
      <c r="W147" s="577">
        <v>0</v>
      </c>
      <c r="X147" s="577">
        <v>0</v>
      </c>
      <c r="Y147" s="577">
        <v>0</v>
      </c>
      <c r="Z147" s="577">
        <v>0</v>
      </c>
    </row>
    <row r="148" spans="1:26" outlineLevel="2">
      <c r="A148" s="817"/>
      <c r="B148" s="818"/>
      <c r="C148" s="818"/>
      <c r="D148" s="64">
        <v>9</v>
      </c>
      <c r="E148" s="68">
        <f t="shared" si="14"/>
        <v>0</v>
      </c>
      <c r="F148" s="577">
        <v>0</v>
      </c>
      <c r="G148" s="577">
        <v>0</v>
      </c>
      <c r="H148" s="577">
        <v>0</v>
      </c>
      <c r="I148" s="577">
        <v>0</v>
      </c>
      <c r="J148" s="577">
        <v>0</v>
      </c>
      <c r="K148" s="577">
        <v>0</v>
      </c>
      <c r="L148" s="577">
        <v>0</v>
      </c>
      <c r="M148" s="577">
        <v>0</v>
      </c>
      <c r="N148" s="577">
        <v>0</v>
      </c>
      <c r="O148" s="577">
        <v>0</v>
      </c>
      <c r="P148" s="577">
        <v>0</v>
      </c>
      <c r="Q148" s="577">
        <v>0</v>
      </c>
      <c r="R148" s="577">
        <v>0</v>
      </c>
      <c r="S148" s="577">
        <v>0</v>
      </c>
      <c r="T148" s="577">
        <v>0</v>
      </c>
      <c r="U148" s="577">
        <v>0</v>
      </c>
      <c r="V148" s="577">
        <v>0</v>
      </c>
      <c r="W148" s="577">
        <v>0</v>
      </c>
      <c r="X148" s="577">
        <v>0</v>
      </c>
      <c r="Y148" s="577">
        <v>0</v>
      </c>
      <c r="Z148" s="577">
        <v>0</v>
      </c>
    </row>
    <row r="149" spans="1:26" ht="15.75" outlineLevel="2" thickBot="1">
      <c r="A149" s="817"/>
      <c r="B149" s="818"/>
      <c r="C149" s="818"/>
      <c r="D149" s="65">
        <v>10</v>
      </c>
      <c r="E149" s="69">
        <f t="shared" si="14"/>
        <v>0</v>
      </c>
      <c r="F149" s="581">
        <v>0</v>
      </c>
      <c r="G149" s="581">
        <v>0</v>
      </c>
      <c r="H149" s="581">
        <v>0</v>
      </c>
      <c r="I149" s="581">
        <v>0</v>
      </c>
      <c r="J149" s="581">
        <v>0</v>
      </c>
      <c r="K149" s="581">
        <v>0</v>
      </c>
      <c r="L149" s="581">
        <v>0</v>
      </c>
      <c r="M149" s="581">
        <v>0</v>
      </c>
      <c r="N149" s="581">
        <v>0</v>
      </c>
      <c r="O149" s="581">
        <v>0</v>
      </c>
      <c r="P149" s="581">
        <v>0</v>
      </c>
      <c r="Q149" s="581">
        <v>0</v>
      </c>
      <c r="R149" s="581">
        <v>0</v>
      </c>
      <c r="S149" s="581">
        <v>0</v>
      </c>
      <c r="T149" s="581">
        <v>0</v>
      </c>
      <c r="U149" s="581">
        <v>0</v>
      </c>
      <c r="V149" s="581">
        <v>0</v>
      </c>
      <c r="W149" s="581">
        <v>0</v>
      </c>
      <c r="X149" s="581">
        <v>0</v>
      </c>
      <c r="Y149" s="581">
        <v>0</v>
      </c>
      <c r="Z149" s="581">
        <v>0</v>
      </c>
    </row>
    <row r="150" spans="1:26" ht="15.75" thickBot="1">
      <c r="A150" s="17" t="s">
        <v>1520</v>
      </c>
      <c r="B150" s="17"/>
      <c r="C150" s="17"/>
      <c r="D150" s="27"/>
      <c r="E150" s="109">
        <f t="shared" ref="E150:Z150" si="15">SUM(E151:E170)</f>
        <v>326304</v>
      </c>
      <c r="F150" s="110">
        <f t="shared" si="15"/>
        <v>56535.862292051759</v>
      </c>
      <c r="G150" s="110">
        <f t="shared" si="15"/>
        <v>3995.8669131238448</v>
      </c>
      <c r="H150" s="110">
        <f t="shared" si="15"/>
        <v>3901.6247689463958</v>
      </c>
      <c r="I150" s="110">
        <f t="shared" si="15"/>
        <v>2337.2051756007395</v>
      </c>
      <c r="J150" s="110">
        <f t="shared" si="15"/>
        <v>3901.6247689463958</v>
      </c>
      <c r="K150" s="110">
        <f t="shared" si="15"/>
        <v>782.20979667282813</v>
      </c>
      <c r="L150" s="110">
        <f t="shared" si="15"/>
        <v>90378.216266173768</v>
      </c>
      <c r="M150" s="110">
        <f t="shared" si="15"/>
        <v>18132.188539741219</v>
      </c>
      <c r="N150" s="110">
        <f t="shared" si="15"/>
        <v>8971.8521256931599</v>
      </c>
      <c r="O150" s="110">
        <f t="shared" si="15"/>
        <v>73612.538817005538</v>
      </c>
      <c r="P150" s="110">
        <f t="shared" si="15"/>
        <v>63754.810536044373</v>
      </c>
      <c r="Q150" s="110">
        <f t="shared" si="15"/>
        <v>0</v>
      </c>
      <c r="R150" s="110">
        <f t="shared" si="15"/>
        <v>0</v>
      </c>
      <c r="S150" s="110">
        <f t="shared" si="15"/>
        <v>0</v>
      </c>
      <c r="T150" s="110">
        <f t="shared" si="15"/>
        <v>0</v>
      </c>
      <c r="U150" s="110">
        <f t="shared" si="15"/>
        <v>0</v>
      </c>
      <c r="V150" s="110">
        <f t="shared" si="15"/>
        <v>0</v>
      </c>
      <c r="W150" s="110">
        <f t="shared" si="15"/>
        <v>0</v>
      </c>
      <c r="X150" s="110">
        <f t="shared" si="15"/>
        <v>0</v>
      </c>
      <c r="Y150" s="110">
        <f t="shared" si="15"/>
        <v>0</v>
      </c>
      <c r="Z150" s="110">
        <f t="shared" si="15"/>
        <v>0</v>
      </c>
    </row>
    <row r="151" spans="1:26">
      <c r="A151" s="817" t="s">
        <v>955</v>
      </c>
      <c r="B151" s="818"/>
      <c r="C151" s="818"/>
      <c r="D151" s="63">
        <v>1</v>
      </c>
      <c r="E151" s="67">
        <f t="shared" ref="E151:E170" si="16">SUM(F151:Z151)</f>
        <v>130521.60000000001</v>
      </c>
      <c r="F151" s="573">
        <f>IFERROR(IF((POZICIE_INTERNE!$B$41-12*('TCO TO BE- SW'!$D151-1))&gt;12,((F$4+'TCO TO BE - HW'!F$4)/($E$4+'TCO TO BE - HW'!$E$4)*SUM(POZICIE_INTERNE!$I$41:$I$52))/POZICIE_INTERNE!$B$41*12,IF((POZICIE_INTERNE!$B$41-12*('TCO TO BE- SW'!$D151-1))&lt;0,0,(POZICIE_INTERNE!$B$41-12*('TCO TO BE- SW'!$D151-1))*((F$4+'TCO TO BE - HW'!F$4)/($E$4+'TCO TO BE - HW'!$E$4)*SUM(POZICIE_INTERNE!$I$41:$I$52))/POZICIE_INTERNE!$B$41)),0)+IFERROR(IF((EXTERNE_POZICIE!$B$41-12*('TCO TO BE- SW'!$D151-1))&gt;12,((F$4+'TCO TO BE - HW'!F$4)/($E$4+'TCO TO BE - HW'!$E$4)*SUM(EXTERNE_POZICIE!$M$41:$M$52)*1.23)/EXTERNE_POZICIE!$B$41*12,IF((EXTERNE_POZICIE!$B$41-12*('TCO TO BE- SW'!$D151-1))&lt;0,0,(EXTERNE_POZICIE!$B$41-12*('TCO TO BE- SW'!$D151-1))*((F$4+'TCO TO BE - HW'!F$4)/($E$4+'TCO TO BE - HW'!$E$4)*SUM(EXTERNE_POZICIE!$M$41:$M$52)*1.23)/EXTERNE_POZICIE!$B$41)),0)+IFERROR(SUM(#REF!)*'TCO TO BE- SW'!F$4/'TCO TO BE- SW'!$E$4,0)</f>
        <v>22614.344916820704</v>
      </c>
      <c r="G151" s="573">
        <f>IFERROR(IF((POZICIE_INTERNE!$B$41-12*('TCO TO BE- SW'!$D151-1))&gt;12,((G$4+'TCO TO BE - HW'!G$4)/($E$4+'TCO TO BE - HW'!$E$4)*SUM(POZICIE_INTERNE!$I$41:$I$52))/POZICIE_INTERNE!$B$41*12,IF((POZICIE_INTERNE!$B$41-12*('TCO TO BE- SW'!$D151-1))&lt;0,0,(POZICIE_INTERNE!$B$41-12*('TCO TO BE- SW'!$D151-1))*((G$4+'TCO TO BE - HW'!G$4)/($E$4+'TCO TO BE - HW'!$E$4)*SUM(POZICIE_INTERNE!$I$41:$I$52))/POZICIE_INTERNE!$B$41)),0)+IFERROR(IF((EXTERNE_POZICIE!$B$41-12*('TCO TO BE- SW'!$D151-1))&gt;12,((G$4+'TCO TO BE - HW'!G$4)/($E$4+'TCO TO BE - HW'!$E$4)*SUM(EXTERNE_POZICIE!$M$41:$M$52)*1.23)/EXTERNE_POZICIE!$B$41*12,IF((EXTERNE_POZICIE!$B$41-12*('TCO TO BE- SW'!$D151-1))&lt;0,0,(EXTERNE_POZICIE!$B$41-12*('TCO TO BE- SW'!$D151-1))*((G$4+'TCO TO BE - HW'!G$4)/($E$4+'TCO TO BE - HW'!$E$4)*SUM(EXTERNE_POZICIE!$M$41:$M$52)*1.23)/EXTERNE_POZICIE!$B$41)),0)+IFERROR(SUM(#REF!)*'TCO TO BE- SW'!G$4/'TCO TO BE- SW'!$E$4,0)</f>
        <v>1598.3467652495378</v>
      </c>
      <c r="H151" s="573">
        <f>IFERROR(IF((POZICIE_INTERNE!$B$41-12*('TCO TO BE- SW'!$D151-1))&gt;12,((H$4+'TCO TO BE - HW'!H$4)/($E$4+'TCO TO BE - HW'!$E$4)*SUM(POZICIE_INTERNE!$I$41:$I$52))/POZICIE_INTERNE!$B$41*12,IF((POZICIE_INTERNE!$B$41-12*('TCO TO BE- SW'!$D151-1))&lt;0,0,(POZICIE_INTERNE!$B$41-12*('TCO TO BE- SW'!$D151-1))*((H$4+'TCO TO BE - HW'!H$4)/($E$4+'TCO TO BE - HW'!$E$4)*SUM(POZICIE_INTERNE!$I$41:$I$52))/POZICIE_INTERNE!$B$41)),0)+IFERROR(IF((EXTERNE_POZICIE!$B$41-12*('TCO TO BE- SW'!$D151-1))&gt;12,((H$4+'TCO TO BE - HW'!H$4)/($E$4+'TCO TO BE - HW'!$E$4)*SUM(EXTERNE_POZICIE!$M$41:$M$52)*1.23)/EXTERNE_POZICIE!$B$41*12,IF((EXTERNE_POZICIE!$B$41-12*('TCO TO BE- SW'!$D151-1))&lt;0,0,(EXTERNE_POZICIE!$B$41-12*('TCO TO BE- SW'!$D151-1))*((H$4+'TCO TO BE - HW'!H$4)/($E$4+'TCO TO BE - HW'!$E$4)*SUM(EXTERNE_POZICIE!$M$41:$M$52)*1.23)/EXTERNE_POZICIE!$B$41)),0)+IFERROR(SUM(#REF!)*'TCO TO BE- SW'!H$4/'TCO TO BE- SW'!$E$4,0)</f>
        <v>1560.6499075785582</v>
      </c>
      <c r="I151" s="573">
        <f>IFERROR(IF((POZICIE_INTERNE!$B$41-12*('TCO TO BE- SW'!$D151-1))&gt;12,((I$4+'TCO TO BE - HW'!I$4)/($E$4+'TCO TO BE - HW'!$E$4)*SUM(POZICIE_INTERNE!$I$41:$I$52))/POZICIE_INTERNE!$B$41*12,IF((POZICIE_INTERNE!$B$41-12*('TCO TO BE- SW'!$D151-1))&lt;0,0,(POZICIE_INTERNE!$B$41-12*('TCO TO BE- SW'!$D151-1))*((I$4+'TCO TO BE - HW'!I$4)/($E$4+'TCO TO BE - HW'!$E$4)*SUM(POZICIE_INTERNE!$I$41:$I$52))/POZICIE_INTERNE!$B$41)),0)+IFERROR(IF((EXTERNE_POZICIE!$B$41-12*('TCO TO BE- SW'!$D151-1))&gt;12,((I$4+'TCO TO BE - HW'!I$4)/($E$4+'TCO TO BE - HW'!$E$4)*SUM(EXTERNE_POZICIE!$M$41:$M$52)*1.23)/EXTERNE_POZICIE!$B$41*12,IF((EXTERNE_POZICIE!$B$41-12*('TCO TO BE- SW'!$D151-1))&lt;0,0,(EXTERNE_POZICIE!$B$41-12*('TCO TO BE- SW'!$D151-1))*((I$4+'TCO TO BE - HW'!I$4)/($E$4+'TCO TO BE - HW'!$E$4)*SUM(EXTERNE_POZICIE!$M$41:$M$52)*1.23)/EXTERNE_POZICIE!$B$41)),0)+IFERROR(SUM(#REF!)*'TCO TO BE- SW'!I$4/'TCO TO BE- SW'!$E$4,0)</f>
        <v>934.88207024029577</v>
      </c>
      <c r="J151" s="573">
        <f>IFERROR(IF((POZICIE_INTERNE!$B$41-12*('TCO TO BE- SW'!$D151-1))&gt;12,((J$4+'TCO TO BE - HW'!J$4)/($E$4+'TCO TO BE - HW'!$E$4)*SUM(POZICIE_INTERNE!$I$41:$I$52))/POZICIE_INTERNE!$B$41*12,IF((POZICIE_INTERNE!$B$41-12*('TCO TO BE- SW'!$D151-1))&lt;0,0,(POZICIE_INTERNE!$B$41-12*('TCO TO BE- SW'!$D151-1))*((J$4+'TCO TO BE - HW'!J$4)/($E$4+'TCO TO BE - HW'!$E$4)*SUM(POZICIE_INTERNE!$I$41:$I$52))/POZICIE_INTERNE!$B$41)),0)+IFERROR(IF((EXTERNE_POZICIE!$B$41-12*('TCO TO BE- SW'!$D151-1))&gt;12,((J$4+'TCO TO BE - HW'!J$4)/($E$4+'TCO TO BE - HW'!$E$4)*SUM(EXTERNE_POZICIE!$M$41:$M$52)*1.23)/EXTERNE_POZICIE!$B$41*12,IF((EXTERNE_POZICIE!$B$41-12*('TCO TO BE- SW'!$D151-1))&lt;0,0,(EXTERNE_POZICIE!$B$41-12*('TCO TO BE- SW'!$D151-1))*((J$4+'TCO TO BE - HW'!J$4)/($E$4+'TCO TO BE - HW'!$E$4)*SUM(EXTERNE_POZICIE!$M$41:$M$52)*1.23)/EXTERNE_POZICIE!$B$41)),0)+IFERROR(SUM(#REF!)*'TCO TO BE- SW'!J$4/'TCO TO BE- SW'!$E$4,0)</f>
        <v>1560.6499075785582</v>
      </c>
      <c r="K151" s="573">
        <f>IFERROR(IF((POZICIE_INTERNE!$B$41-12*('TCO TO BE- SW'!$D151-1))&gt;12,((K$4+'TCO TO BE - HW'!K$4)/($E$4+'TCO TO BE - HW'!$E$4)*SUM(POZICIE_INTERNE!$I$41:$I$52))/POZICIE_INTERNE!$B$41*12,IF((POZICIE_INTERNE!$B$41-12*('TCO TO BE- SW'!$D151-1))&lt;0,0,(POZICIE_INTERNE!$B$41-12*('TCO TO BE- SW'!$D151-1))*((K$4+'TCO TO BE - HW'!K$4)/($E$4+'TCO TO BE - HW'!$E$4)*SUM(POZICIE_INTERNE!$I$41:$I$52))/POZICIE_INTERNE!$B$41)),0)+IFERROR(IF((EXTERNE_POZICIE!$B$41-12*('TCO TO BE- SW'!$D151-1))&gt;12,((K$4+'TCO TO BE - HW'!K$4)/($E$4+'TCO TO BE - HW'!$E$4)*SUM(EXTERNE_POZICIE!$M$41:$M$52)*1.23)/EXTERNE_POZICIE!$B$41*12,IF((EXTERNE_POZICIE!$B$41-12*('TCO TO BE- SW'!$D151-1))&lt;0,0,(EXTERNE_POZICIE!$B$41-12*('TCO TO BE- SW'!$D151-1))*((K$4+'TCO TO BE - HW'!K$4)/($E$4+'TCO TO BE - HW'!$E$4)*SUM(EXTERNE_POZICIE!$M$41:$M$52)*1.23)/EXTERNE_POZICIE!$B$41)),0)+IFERROR(SUM(#REF!)*'TCO TO BE- SW'!K$4/'TCO TO BE- SW'!$E$4,0)</f>
        <v>312.88391866913122</v>
      </c>
      <c r="L151" s="573">
        <f>IFERROR(IF((POZICIE_INTERNE!$B$41-12*('TCO TO BE- SW'!$D151-1))&gt;12,((L$4+'TCO TO BE - HW'!L$4)/($E$4+'TCO TO BE - HW'!$E$4)*SUM(POZICIE_INTERNE!$I$41:$I$52))/POZICIE_INTERNE!$B$41*12,IF((POZICIE_INTERNE!$B$41-12*('TCO TO BE- SW'!$D151-1))&lt;0,0,(POZICIE_INTERNE!$B$41-12*('TCO TO BE- SW'!$D151-1))*((L$4+'TCO TO BE - HW'!L$4)/($E$4+'TCO TO BE - HW'!$E$4)*SUM(POZICIE_INTERNE!$I$41:$I$52))/POZICIE_INTERNE!$B$41)),0)+IFERROR(IF((EXTERNE_POZICIE!$B$41-12*('TCO TO BE- SW'!$D151-1))&gt;12,((L$4+'TCO TO BE - HW'!L$4)/($E$4+'TCO TO BE - HW'!$E$4)*SUM(EXTERNE_POZICIE!$M$41:$M$52)*1.23)/EXTERNE_POZICIE!$B$41*12,IF((EXTERNE_POZICIE!$B$41-12*('TCO TO BE- SW'!$D151-1))&lt;0,0,(EXTERNE_POZICIE!$B$41-12*('TCO TO BE- SW'!$D151-1))*((L$4+'TCO TO BE - HW'!L$4)/($E$4+'TCO TO BE - HW'!$E$4)*SUM(EXTERNE_POZICIE!$M$41:$M$52)*1.23)/EXTERNE_POZICIE!$B$41)),0)+IFERROR(SUM(#REF!)*'TCO TO BE- SW'!L$4/'TCO TO BE- SW'!$E$4,0)</f>
        <v>36151.286506469507</v>
      </c>
      <c r="M151" s="573">
        <f>IFERROR(IF((POZICIE_INTERNE!$B$41-12*('TCO TO BE- SW'!$D151-1))&gt;12,((M$4+'TCO TO BE - HW'!M$4)/($E$4+'TCO TO BE - HW'!$E$4)*SUM(POZICIE_INTERNE!$I$41:$I$52))/POZICIE_INTERNE!$B$41*12,IF((POZICIE_INTERNE!$B$41-12*('TCO TO BE- SW'!$D151-1))&lt;0,0,(POZICIE_INTERNE!$B$41-12*('TCO TO BE- SW'!$D151-1))*((M$4+'TCO TO BE - HW'!M$4)/($E$4+'TCO TO BE - HW'!$E$4)*SUM(POZICIE_INTERNE!$I$41:$I$52))/POZICIE_INTERNE!$B$41)),0)+IFERROR(IF((EXTERNE_POZICIE!$B$41-12*('TCO TO BE- SW'!$D151-1))&gt;12,((M$4+'TCO TO BE - HW'!M$4)/($E$4+'TCO TO BE - HW'!$E$4)*SUM(EXTERNE_POZICIE!$M$41:$M$52)*1.23)/EXTERNE_POZICIE!$B$41*12,IF((EXTERNE_POZICIE!$B$41-12*('TCO TO BE- SW'!$D151-1))&lt;0,0,(EXTERNE_POZICIE!$B$41-12*('TCO TO BE- SW'!$D151-1))*((M$4+'TCO TO BE - HW'!M$4)/($E$4+'TCO TO BE - HW'!$E$4)*SUM(EXTERNE_POZICIE!$M$41:$M$52)*1.23)/EXTERNE_POZICIE!$B$41)),0)+IFERROR(SUM(#REF!)*'TCO TO BE- SW'!M$4/'TCO TO BE- SW'!$E$4,0)</f>
        <v>7252.8754158964875</v>
      </c>
      <c r="N151" s="573">
        <f>IFERROR(IF((POZICIE_INTERNE!$B$41-12*('TCO TO BE- SW'!$D151-1))&gt;12,((N$4+'TCO TO BE - HW'!N$4)/($E$4+'TCO TO BE - HW'!$E$4)*SUM(POZICIE_INTERNE!$I$41:$I$52))/POZICIE_INTERNE!$B$41*12,IF((POZICIE_INTERNE!$B$41-12*('TCO TO BE- SW'!$D151-1))&lt;0,0,(POZICIE_INTERNE!$B$41-12*('TCO TO BE- SW'!$D151-1))*((N$4+'TCO TO BE - HW'!N$4)/($E$4+'TCO TO BE - HW'!$E$4)*SUM(POZICIE_INTERNE!$I$41:$I$52))/POZICIE_INTERNE!$B$41)),0)+IFERROR(IF((EXTERNE_POZICIE!$B$41-12*('TCO TO BE- SW'!$D151-1))&gt;12,((N$4+'TCO TO BE - HW'!N$4)/($E$4+'TCO TO BE - HW'!$E$4)*SUM(EXTERNE_POZICIE!$M$41:$M$52)*1.23)/EXTERNE_POZICIE!$B$41*12,IF((EXTERNE_POZICIE!$B$41-12*('TCO TO BE- SW'!$D151-1))&lt;0,0,(EXTERNE_POZICIE!$B$41-12*('TCO TO BE- SW'!$D151-1))*((N$4+'TCO TO BE - HW'!N$4)/($E$4+'TCO TO BE - HW'!$E$4)*SUM(EXTERNE_POZICIE!$M$41:$M$52)*1.23)/EXTERNE_POZICIE!$B$41)),0)+IFERROR(SUM(#REF!)*'TCO TO BE- SW'!N$4/'TCO TO BE- SW'!$E$4,0)</f>
        <v>3588.7408502772641</v>
      </c>
      <c r="O151" s="573">
        <f>IFERROR(IF((POZICIE_INTERNE!$B$41-12*('TCO TO BE- SW'!$D151-1))&gt;12,((O$4+'TCO TO BE - HW'!O$4)/($E$4+'TCO TO BE - HW'!$E$4)*SUM(POZICIE_INTERNE!$I$41:$I$52))/POZICIE_INTERNE!$B$41*12,IF((POZICIE_INTERNE!$B$41-12*('TCO TO BE- SW'!$D151-1))&lt;0,0,(POZICIE_INTERNE!$B$41-12*('TCO TO BE- SW'!$D151-1))*((O$4+'TCO TO BE - HW'!O$4)/($E$4+'TCO TO BE - HW'!$E$4)*SUM(POZICIE_INTERNE!$I$41:$I$52))/POZICIE_INTERNE!$B$41)),0)+IFERROR(IF((EXTERNE_POZICIE!$B$41-12*('TCO TO BE- SW'!$D151-1))&gt;12,((O$4+'TCO TO BE - HW'!O$4)/($E$4+'TCO TO BE - HW'!$E$4)*SUM(EXTERNE_POZICIE!$M$41:$M$52)*1.23)/EXTERNE_POZICIE!$B$41*12,IF((EXTERNE_POZICIE!$B$41-12*('TCO TO BE- SW'!$D151-1))&lt;0,0,(EXTERNE_POZICIE!$B$41-12*('TCO TO BE- SW'!$D151-1))*((O$4+'TCO TO BE - HW'!O$4)/($E$4+'TCO TO BE - HW'!$E$4)*SUM(EXTERNE_POZICIE!$M$41:$M$52)*1.23)/EXTERNE_POZICIE!$B$41)),0)+IFERROR(SUM(#REF!)*'TCO TO BE- SW'!O$4/'TCO TO BE- SW'!$E$4,0)</f>
        <v>29445.015526802214</v>
      </c>
      <c r="P151" s="573">
        <f>IFERROR(IF((POZICIE_INTERNE!$B$41-12*('TCO TO BE- SW'!$D151-1))&gt;12,((P$4+'TCO TO BE - HW'!P$4)/($E$4+'TCO TO BE - HW'!$E$4)*SUM(POZICIE_INTERNE!$I$41:$I$52))/POZICIE_INTERNE!$B$41*12,IF((POZICIE_INTERNE!$B$41-12*('TCO TO BE- SW'!$D151-1))&lt;0,0,(POZICIE_INTERNE!$B$41-12*('TCO TO BE- SW'!$D151-1))*((P$4+'TCO TO BE - HW'!P$4)/($E$4+'TCO TO BE - HW'!$E$4)*SUM(POZICIE_INTERNE!$I$41:$I$52))/POZICIE_INTERNE!$B$41)),0)+IFERROR(IF((EXTERNE_POZICIE!$B$41-12*('TCO TO BE- SW'!$D151-1))&gt;12,((P$4+'TCO TO BE - HW'!P$4)/($E$4+'TCO TO BE - HW'!$E$4)*SUM(EXTERNE_POZICIE!$M$41:$M$52)*1.23)/EXTERNE_POZICIE!$B$41*12,IF((EXTERNE_POZICIE!$B$41-12*('TCO TO BE- SW'!$D151-1))&lt;0,0,(EXTERNE_POZICIE!$B$41-12*('TCO TO BE- SW'!$D151-1))*((P$4+'TCO TO BE - HW'!P$4)/($E$4+'TCO TO BE - HW'!$E$4)*SUM(EXTERNE_POZICIE!$M$41:$M$52)*1.23)/EXTERNE_POZICIE!$B$41)),0)+IFERROR(SUM(#REF!)*'TCO TO BE- SW'!P$4/'TCO TO BE- SW'!$E$4,0)</f>
        <v>25501.924214417748</v>
      </c>
      <c r="Q151" s="573">
        <f>IFERROR(IF((POZICIE_INTERNE!$B$41-12*('TCO TO BE- SW'!$D151-1))&gt;12,((Q$4+'TCO TO BE - HW'!Q$4)/($E$4+'TCO TO BE - HW'!$E$4)*SUM(POZICIE_INTERNE!$I$41:$I$52))/POZICIE_INTERNE!$B$41*12,IF((POZICIE_INTERNE!$B$41-12*('TCO TO BE- SW'!$D151-1))&lt;0,0,(POZICIE_INTERNE!$B$41-12*('TCO TO BE- SW'!$D151-1))*((Q$4+'TCO TO BE - HW'!Q$4)/($E$4+'TCO TO BE - HW'!$E$4)*SUM(POZICIE_INTERNE!$I$41:$I$52))/POZICIE_INTERNE!$B$41)),0)+IFERROR(IF((EXTERNE_POZICIE!$B$41-12*('TCO TO BE- SW'!$D151-1))&gt;12,((Q$4+'TCO TO BE - HW'!Q$4)/($E$4+'TCO TO BE - HW'!$E$4)*SUM(EXTERNE_POZICIE!$M$41:$M$52)*1.23)/EXTERNE_POZICIE!$B$41*12,IF((EXTERNE_POZICIE!$B$41-12*('TCO TO BE- SW'!$D151-1))&lt;0,0,(EXTERNE_POZICIE!$B$41-12*('TCO TO BE- SW'!$D151-1))*((Q$4+'TCO TO BE - HW'!Q$4)/($E$4+'TCO TO BE - HW'!$E$4)*SUM(EXTERNE_POZICIE!$M$41:$M$52)*1.23)/EXTERNE_POZICIE!$B$41)),0)+IFERROR(SUM(#REF!)*'TCO TO BE- SW'!Q$4/'TCO TO BE- SW'!$E$4,0)</f>
        <v>0</v>
      </c>
      <c r="R151" s="573">
        <f>IFERROR(IF((POZICIE_INTERNE!$B$41-12*('TCO TO BE- SW'!$D151-1))&gt;12,((R$4+'TCO TO BE - HW'!R$4)/($E$4+'TCO TO BE - HW'!$E$4)*SUM(POZICIE_INTERNE!$I$41:$I$52))/POZICIE_INTERNE!$B$41*12,IF((POZICIE_INTERNE!$B$41-12*('TCO TO BE- SW'!$D151-1))&lt;0,0,(POZICIE_INTERNE!$B$41-12*('TCO TO BE- SW'!$D151-1))*((R$4+'TCO TO BE - HW'!R$4)/($E$4+'TCO TO BE - HW'!$E$4)*SUM(POZICIE_INTERNE!$I$41:$I$52))/POZICIE_INTERNE!$B$41)),0)+IFERROR(IF((EXTERNE_POZICIE!$B$41-12*('TCO TO BE- SW'!$D151-1))&gt;12,((R$4+'TCO TO BE - HW'!R$4)/($E$4+'TCO TO BE - HW'!$E$4)*SUM(EXTERNE_POZICIE!$M$41:$M$52)*1.23)/EXTERNE_POZICIE!$B$41*12,IF((EXTERNE_POZICIE!$B$41-12*('TCO TO BE- SW'!$D151-1))&lt;0,0,(EXTERNE_POZICIE!$B$41-12*('TCO TO BE- SW'!$D151-1))*((R$4+'TCO TO BE - HW'!R$4)/($E$4+'TCO TO BE - HW'!$E$4)*SUM(EXTERNE_POZICIE!$M$41:$M$52)*1.23)/EXTERNE_POZICIE!$B$41)),0)+IFERROR(SUM(#REF!)*'TCO TO BE- SW'!R$4/'TCO TO BE- SW'!$E$4,0)</f>
        <v>0</v>
      </c>
      <c r="S151" s="573">
        <f>IFERROR(IF((POZICIE_INTERNE!$B$41-12*('TCO TO BE- SW'!$D151-1))&gt;12,((S$4+'TCO TO BE - HW'!S$4)/($E$4+'TCO TO BE - HW'!$E$4)*SUM(POZICIE_INTERNE!$I$41:$I$52))/POZICIE_INTERNE!$B$41*12,IF((POZICIE_INTERNE!$B$41-12*('TCO TO BE- SW'!$D151-1))&lt;0,0,(POZICIE_INTERNE!$B$41-12*('TCO TO BE- SW'!$D151-1))*((S$4+'TCO TO BE - HW'!S$4)/($E$4+'TCO TO BE - HW'!$E$4)*SUM(POZICIE_INTERNE!$I$41:$I$52))/POZICIE_INTERNE!$B$41)),0)+IFERROR(IF((EXTERNE_POZICIE!$B$41-12*('TCO TO BE- SW'!$D151-1))&gt;12,((S$4+'TCO TO BE - HW'!S$4)/($E$4+'TCO TO BE - HW'!$E$4)*SUM(EXTERNE_POZICIE!$M$41:$M$52)*1.23)/EXTERNE_POZICIE!$B$41*12,IF((EXTERNE_POZICIE!$B$41-12*('TCO TO BE- SW'!$D151-1))&lt;0,0,(EXTERNE_POZICIE!$B$41-12*('TCO TO BE- SW'!$D151-1))*((S$4+'TCO TO BE - HW'!S$4)/($E$4+'TCO TO BE - HW'!$E$4)*SUM(EXTERNE_POZICIE!$M$41:$M$52)*1.23)/EXTERNE_POZICIE!$B$41)),0)+IFERROR(SUM(#REF!)*'TCO TO BE- SW'!S$4/'TCO TO BE- SW'!$E$4,0)</f>
        <v>0</v>
      </c>
      <c r="T151" s="573">
        <f>IFERROR(IF((POZICIE_INTERNE!$B$41-12*('TCO TO BE- SW'!$D151-1))&gt;12,((T$4+'TCO TO BE - HW'!T$4)/($E$4+'TCO TO BE - HW'!$E$4)*SUM(POZICIE_INTERNE!$I$41:$I$52))/POZICIE_INTERNE!$B$41*12,IF((POZICIE_INTERNE!$B$41-12*('TCO TO BE- SW'!$D151-1))&lt;0,0,(POZICIE_INTERNE!$B$41-12*('TCO TO BE- SW'!$D151-1))*((T$4+'TCO TO BE - HW'!T$4)/($E$4+'TCO TO BE - HW'!$E$4)*SUM(POZICIE_INTERNE!$I$41:$I$52))/POZICIE_INTERNE!$B$41)),0)+IFERROR(IF((EXTERNE_POZICIE!$B$41-12*('TCO TO BE- SW'!$D151-1))&gt;12,((T$4+'TCO TO BE - HW'!T$4)/($E$4+'TCO TO BE - HW'!$E$4)*SUM(EXTERNE_POZICIE!$M$41:$M$52)*1.23)/EXTERNE_POZICIE!$B$41*12,IF((EXTERNE_POZICIE!$B$41-12*('TCO TO BE- SW'!$D151-1))&lt;0,0,(EXTERNE_POZICIE!$B$41-12*('TCO TO BE- SW'!$D151-1))*((T$4+'TCO TO BE - HW'!T$4)/($E$4+'TCO TO BE - HW'!$E$4)*SUM(EXTERNE_POZICIE!$M$41:$M$52)*1.23)/EXTERNE_POZICIE!$B$41)),0)+IFERROR(SUM(#REF!)*'TCO TO BE- SW'!T$4/'TCO TO BE- SW'!$E$4,0)</f>
        <v>0</v>
      </c>
      <c r="U151" s="573">
        <f>IFERROR(IF((POZICIE_INTERNE!$B$41-12*('TCO TO BE- SW'!$D151-1))&gt;12,((U$4+'TCO TO BE - HW'!U$4)/($E$4+'TCO TO BE - HW'!$E$4)*SUM(POZICIE_INTERNE!$I$41:$I$52))/POZICIE_INTERNE!$B$41*12,IF((POZICIE_INTERNE!$B$41-12*('TCO TO BE- SW'!$D151-1))&lt;0,0,(POZICIE_INTERNE!$B$41-12*('TCO TO BE- SW'!$D151-1))*((U$4+'TCO TO BE - HW'!U$4)/($E$4+'TCO TO BE - HW'!$E$4)*SUM(POZICIE_INTERNE!$I$41:$I$52))/POZICIE_INTERNE!$B$41)),0)+IFERROR(IF((EXTERNE_POZICIE!$B$41-12*('TCO TO BE- SW'!$D151-1))&gt;12,((U$4+'TCO TO BE - HW'!U$4)/($E$4+'TCO TO BE - HW'!$E$4)*SUM(EXTERNE_POZICIE!$M$41:$M$52)*1.23)/EXTERNE_POZICIE!$B$41*12,IF((EXTERNE_POZICIE!$B$41-12*('TCO TO BE- SW'!$D151-1))&lt;0,0,(EXTERNE_POZICIE!$B$41-12*('TCO TO BE- SW'!$D151-1))*((U$4+'TCO TO BE - HW'!U$4)/($E$4+'TCO TO BE - HW'!$E$4)*SUM(EXTERNE_POZICIE!$M$41:$M$52)*1.23)/EXTERNE_POZICIE!$B$41)),0)+IFERROR(SUM(#REF!)*'TCO TO BE- SW'!U$4/'TCO TO BE- SW'!$E$4,0)</f>
        <v>0</v>
      </c>
      <c r="V151" s="573">
        <f>IFERROR(IF((POZICIE_INTERNE!$B$41-12*('TCO TO BE- SW'!$D151-1))&gt;12,((V$4+'TCO TO BE - HW'!V$4)/($E$4+'TCO TO BE - HW'!$E$4)*SUM(POZICIE_INTERNE!$I$41:$I$52))/POZICIE_INTERNE!$B$41*12,IF((POZICIE_INTERNE!$B$41-12*('TCO TO BE- SW'!$D151-1))&lt;0,0,(POZICIE_INTERNE!$B$41-12*('TCO TO BE- SW'!$D151-1))*((V$4+'TCO TO BE - HW'!V$4)/($E$4+'TCO TO BE - HW'!$E$4)*SUM(POZICIE_INTERNE!$I$41:$I$52))/POZICIE_INTERNE!$B$41)),0)+IFERROR(IF((EXTERNE_POZICIE!$B$41-12*('TCO TO BE- SW'!$D151-1))&gt;12,((V$4+'TCO TO BE - HW'!V$4)/($E$4+'TCO TO BE - HW'!$E$4)*SUM(EXTERNE_POZICIE!$M$41:$M$52)*1.23)/EXTERNE_POZICIE!$B$41*12,IF((EXTERNE_POZICIE!$B$41-12*('TCO TO BE- SW'!$D151-1))&lt;0,0,(EXTERNE_POZICIE!$B$41-12*('TCO TO BE- SW'!$D151-1))*((V$4+'TCO TO BE - HW'!V$4)/($E$4+'TCO TO BE - HW'!$E$4)*SUM(EXTERNE_POZICIE!$M$41:$M$52)*1.23)/EXTERNE_POZICIE!$B$41)),0)+IFERROR(SUM(#REF!)*'TCO TO BE- SW'!V$4/'TCO TO BE- SW'!$E$4,0)</f>
        <v>0</v>
      </c>
      <c r="W151" s="573">
        <f>IFERROR(IF((POZICIE_INTERNE!$B$41-12*('TCO TO BE- SW'!$D151-1))&gt;12,((W$4+'TCO TO BE - HW'!W$4)/($E$4+'TCO TO BE - HW'!$E$4)*SUM(POZICIE_INTERNE!$I$41:$I$52))/POZICIE_INTERNE!$B$41*12,IF((POZICIE_INTERNE!$B$41-12*('TCO TO BE- SW'!$D151-1))&lt;0,0,(POZICIE_INTERNE!$B$41-12*('TCO TO BE- SW'!$D151-1))*((W$4+'TCO TO BE - HW'!W$4)/($E$4+'TCO TO BE - HW'!$E$4)*SUM(POZICIE_INTERNE!$I$41:$I$52))/POZICIE_INTERNE!$B$41)),0)+IFERROR(IF((EXTERNE_POZICIE!$B$41-12*('TCO TO BE- SW'!$D151-1))&gt;12,((W$4+'TCO TO BE - HW'!W$4)/($E$4+'TCO TO BE - HW'!$E$4)*SUM(EXTERNE_POZICIE!$M$41:$M$52)*1.23)/EXTERNE_POZICIE!$B$41*12,IF((EXTERNE_POZICIE!$B$41-12*('TCO TO BE- SW'!$D151-1))&lt;0,0,(EXTERNE_POZICIE!$B$41-12*('TCO TO BE- SW'!$D151-1))*((W$4+'TCO TO BE - HW'!W$4)/($E$4+'TCO TO BE - HW'!$E$4)*SUM(EXTERNE_POZICIE!$M$41:$M$52)*1.23)/EXTERNE_POZICIE!$B$41)),0)+IFERROR(SUM(#REF!)*'TCO TO BE- SW'!W$4/'TCO TO BE- SW'!$E$4,0)</f>
        <v>0</v>
      </c>
      <c r="X151" s="573">
        <f>IFERROR(IF((POZICIE_INTERNE!$B$41-12*('TCO TO BE- SW'!$D151-1))&gt;12,((X$4+'TCO TO BE - HW'!X$4)/($E$4+'TCO TO BE - HW'!$E$4)*SUM(POZICIE_INTERNE!$I$41:$I$52))/POZICIE_INTERNE!$B$41*12,IF((POZICIE_INTERNE!$B$41-12*('TCO TO BE- SW'!$D151-1))&lt;0,0,(POZICIE_INTERNE!$B$41-12*('TCO TO BE- SW'!$D151-1))*((X$4+'TCO TO BE - HW'!X$4)/($E$4+'TCO TO BE - HW'!$E$4)*SUM(POZICIE_INTERNE!$I$41:$I$52))/POZICIE_INTERNE!$B$41)),0)+IFERROR(IF((EXTERNE_POZICIE!$B$41-12*('TCO TO BE- SW'!$D151-1))&gt;12,((X$4+'TCO TO BE - HW'!X$4)/($E$4+'TCO TO BE - HW'!$E$4)*SUM(EXTERNE_POZICIE!$M$41:$M$52)*1.23)/EXTERNE_POZICIE!$B$41*12,IF((EXTERNE_POZICIE!$B$41-12*('TCO TO BE- SW'!$D151-1))&lt;0,0,(EXTERNE_POZICIE!$B$41-12*('TCO TO BE- SW'!$D151-1))*((X$4+'TCO TO BE - HW'!X$4)/($E$4+'TCO TO BE - HW'!$E$4)*SUM(EXTERNE_POZICIE!$M$41:$M$52)*1.23)/EXTERNE_POZICIE!$B$41)),0)+IFERROR(SUM(#REF!)*'TCO TO BE- SW'!X$4/'TCO TO BE- SW'!$E$4,0)</f>
        <v>0</v>
      </c>
      <c r="Y151" s="573">
        <f>IFERROR(IF((POZICIE_INTERNE!$B$41-12*('TCO TO BE- SW'!$D151-1))&gt;12,((Y$4+'TCO TO BE - HW'!Y$4)/($E$4+'TCO TO BE - HW'!$E$4)*SUM(POZICIE_INTERNE!$I$41:$I$52))/POZICIE_INTERNE!$B$41*12,IF((POZICIE_INTERNE!$B$41-12*('TCO TO BE- SW'!$D151-1))&lt;0,0,(POZICIE_INTERNE!$B$41-12*('TCO TO BE- SW'!$D151-1))*((Y$4+'TCO TO BE - HW'!Y$4)/($E$4+'TCO TO BE - HW'!$E$4)*SUM(POZICIE_INTERNE!$I$41:$I$52))/POZICIE_INTERNE!$B$41)),0)+IFERROR(IF((EXTERNE_POZICIE!$B$41-12*('TCO TO BE- SW'!$D151-1))&gt;12,((Y$4+'TCO TO BE - HW'!Y$4)/($E$4+'TCO TO BE - HW'!$E$4)*SUM(EXTERNE_POZICIE!$M$41:$M$52)*1.23)/EXTERNE_POZICIE!$B$41*12,IF((EXTERNE_POZICIE!$B$41-12*('TCO TO BE- SW'!$D151-1))&lt;0,0,(EXTERNE_POZICIE!$B$41-12*('TCO TO BE- SW'!$D151-1))*((Y$4+'TCO TO BE - HW'!Y$4)/($E$4+'TCO TO BE - HW'!$E$4)*SUM(EXTERNE_POZICIE!$M$41:$M$52)*1.23)/EXTERNE_POZICIE!$B$41)),0)+IFERROR(SUM(#REF!)*'TCO TO BE- SW'!Y$4/'TCO TO BE- SW'!$E$4,0)</f>
        <v>0</v>
      </c>
      <c r="Z151" s="573">
        <f>IFERROR(IF((POZICIE_INTERNE!$B$41-12*('TCO TO BE- SW'!$D151-1))&gt;12,((Z$4+'TCO TO BE - HW'!Z$4)/($E$4+'TCO TO BE - HW'!$E$4)*SUM(POZICIE_INTERNE!$I$41:$I$52))/POZICIE_INTERNE!$B$41*12,IF((POZICIE_INTERNE!$B$41-12*('TCO TO BE- SW'!$D151-1))&lt;0,0,(POZICIE_INTERNE!$B$41-12*('TCO TO BE- SW'!$D151-1))*((Z$4+'TCO TO BE - HW'!Z$4)/($E$4+'TCO TO BE - HW'!$E$4)*SUM(POZICIE_INTERNE!$I$41:$I$52))/POZICIE_INTERNE!$B$41)),0)+IFERROR(IF((EXTERNE_POZICIE!$B$41-12*('TCO TO BE- SW'!$D151-1))&gt;12,((Z$4+'TCO TO BE - HW'!Z$4)/($E$4+'TCO TO BE - HW'!$E$4)*SUM(EXTERNE_POZICIE!$M$41:$M$52)*1.23)/EXTERNE_POZICIE!$B$41*12,IF((EXTERNE_POZICIE!$B$41-12*('TCO TO BE- SW'!$D151-1))&lt;0,0,(EXTERNE_POZICIE!$B$41-12*('TCO TO BE- SW'!$D151-1))*((Z$4+'TCO TO BE - HW'!Z$4)/($E$4+'TCO TO BE - HW'!$E$4)*SUM(EXTERNE_POZICIE!$M$41:$M$52)*1.23)/EXTERNE_POZICIE!$B$41)),0)+IFERROR(SUM(#REF!)*'TCO TO BE- SW'!Z$4/'TCO TO BE- SW'!$E$4,0)</f>
        <v>0</v>
      </c>
    </row>
    <row r="152" spans="1:26">
      <c r="A152" s="817"/>
      <c r="B152" s="818"/>
      <c r="C152" s="818"/>
      <c r="D152" s="64">
        <v>2</v>
      </c>
      <c r="E152" s="68">
        <f t="shared" si="16"/>
        <v>130521.60000000001</v>
      </c>
      <c r="F152" s="574">
        <f>IFERROR(IF((POZICIE_INTERNE!$B$41-12*('TCO TO BE- SW'!$D152-1))&gt;12,((F$4+'TCO TO BE - HW'!F$4)/($E$4+'TCO TO BE - HW'!$E$4)*SUM(POZICIE_INTERNE!$I$41:$I$52))/POZICIE_INTERNE!$B$41*12,IF((POZICIE_INTERNE!$B$41-12*('TCO TO BE- SW'!$D152-1))&lt;0,0,(POZICIE_INTERNE!$B$41-12*('TCO TO BE- SW'!$D152-1))*((F$4+'TCO TO BE - HW'!F$4)/($E$4+'TCO TO BE - HW'!$E$4)*SUM(POZICIE_INTERNE!$I$41:$I$52))/POZICIE_INTERNE!$B$41)),0)+IFERROR(IF((EXTERNE_POZICIE!$B$41-12*('TCO TO BE- SW'!$D152-1))&gt;12,((F$4+'TCO TO BE - HW'!F$4)/($E$4+'TCO TO BE - HW'!$E$4)*SUM(EXTERNE_POZICIE!$M$41:$M$52)*1.23)/EXTERNE_POZICIE!$B$41*12,IF((EXTERNE_POZICIE!$B$41-12*('TCO TO BE- SW'!$D152-1))&lt;0,0,(EXTERNE_POZICIE!$B$41-12*('TCO TO BE- SW'!$D152-1))*((F$4+'TCO TO BE - HW'!F$4)/($E$4+'TCO TO BE - HW'!$E$4)*SUM(EXTERNE_POZICIE!$M$41:$M$52)*1.23)/EXTERNE_POZICIE!$B$41)),0)+IFERROR(SUM(#REF!)*'TCO TO BE- SW'!F$4/'TCO TO BE- SW'!$E$4,0)</f>
        <v>22614.344916820704</v>
      </c>
      <c r="G152" s="574">
        <f>IFERROR(IF((POZICIE_INTERNE!$B$41-12*('TCO TO BE- SW'!$D152-1))&gt;12,((G$4+'TCO TO BE - HW'!G$4)/($E$4+'TCO TO BE - HW'!$E$4)*SUM(POZICIE_INTERNE!$I$41:$I$52))/POZICIE_INTERNE!$B$41*12,IF((POZICIE_INTERNE!$B$41-12*('TCO TO BE- SW'!$D152-1))&lt;0,0,(POZICIE_INTERNE!$B$41-12*('TCO TO BE- SW'!$D152-1))*((G$4+'TCO TO BE - HW'!G$4)/($E$4+'TCO TO BE - HW'!$E$4)*SUM(POZICIE_INTERNE!$I$41:$I$52))/POZICIE_INTERNE!$B$41)),0)+IFERROR(IF((EXTERNE_POZICIE!$B$41-12*('TCO TO BE- SW'!$D152-1))&gt;12,((G$4+'TCO TO BE - HW'!G$4)/($E$4+'TCO TO BE - HW'!$E$4)*SUM(EXTERNE_POZICIE!$M$41:$M$52)*1.23)/EXTERNE_POZICIE!$B$41*12,IF((EXTERNE_POZICIE!$B$41-12*('TCO TO BE- SW'!$D152-1))&lt;0,0,(EXTERNE_POZICIE!$B$41-12*('TCO TO BE- SW'!$D152-1))*((G$4+'TCO TO BE - HW'!G$4)/($E$4+'TCO TO BE - HW'!$E$4)*SUM(EXTERNE_POZICIE!$M$41:$M$52)*1.23)/EXTERNE_POZICIE!$B$41)),0)+IFERROR(SUM(#REF!)*'TCO TO BE- SW'!G$4/'TCO TO BE- SW'!$E$4,0)</f>
        <v>1598.3467652495378</v>
      </c>
      <c r="H152" s="574">
        <f>IFERROR(IF((POZICIE_INTERNE!$B$41-12*('TCO TO BE- SW'!$D152-1))&gt;12,((H$4+'TCO TO BE - HW'!H$4)/($E$4+'TCO TO BE - HW'!$E$4)*SUM(POZICIE_INTERNE!$I$41:$I$52))/POZICIE_INTERNE!$B$41*12,IF((POZICIE_INTERNE!$B$41-12*('TCO TO BE- SW'!$D152-1))&lt;0,0,(POZICIE_INTERNE!$B$41-12*('TCO TO BE- SW'!$D152-1))*((H$4+'TCO TO BE - HW'!H$4)/($E$4+'TCO TO BE - HW'!$E$4)*SUM(POZICIE_INTERNE!$I$41:$I$52))/POZICIE_INTERNE!$B$41)),0)+IFERROR(IF((EXTERNE_POZICIE!$B$41-12*('TCO TO BE- SW'!$D152-1))&gt;12,((H$4+'TCO TO BE - HW'!H$4)/($E$4+'TCO TO BE - HW'!$E$4)*SUM(EXTERNE_POZICIE!$M$41:$M$52)*1.23)/EXTERNE_POZICIE!$B$41*12,IF((EXTERNE_POZICIE!$B$41-12*('TCO TO BE- SW'!$D152-1))&lt;0,0,(EXTERNE_POZICIE!$B$41-12*('TCO TO BE- SW'!$D152-1))*((H$4+'TCO TO BE - HW'!H$4)/($E$4+'TCO TO BE - HW'!$E$4)*SUM(EXTERNE_POZICIE!$M$41:$M$52)*1.23)/EXTERNE_POZICIE!$B$41)),0)+IFERROR(SUM(#REF!)*'TCO TO BE- SW'!H$4/'TCO TO BE- SW'!$E$4,0)</f>
        <v>1560.6499075785582</v>
      </c>
      <c r="I152" s="574">
        <f>IFERROR(IF((POZICIE_INTERNE!$B$41-12*('TCO TO BE- SW'!$D152-1))&gt;12,((I$4+'TCO TO BE - HW'!I$4)/($E$4+'TCO TO BE - HW'!$E$4)*SUM(POZICIE_INTERNE!$I$41:$I$52))/POZICIE_INTERNE!$B$41*12,IF((POZICIE_INTERNE!$B$41-12*('TCO TO BE- SW'!$D152-1))&lt;0,0,(POZICIE_INTERNE!$B$41-12*('TCO TO BE- SW'!$D152-1))*((I$4+'TCO TO BE - HW'!I$4)/($E$4+'TCO TO BE - HW'!$E$4)*SUM(POZICIE_INTERNE!$I$41:$I$52))/POZICIE_INTERNE!$B$41)),0)+IFERROR(IF((EXTERNE_POZICIE!$B$41-12*('TCO TO BE- SW'!$D152-1))&gt;12,((I$4+'TCO TO BE - HW'!I$4)/($E$4+'TCO TO BE - HW'!$E$4)*SUM(EXTERNE_POZICIE!$M$41:$M$52)*1.23)/EXTERNE_POZICIE!$B$41*12,IF((EXTERNE_POZICIE!$B$41-12*('TCO TO BE- SW'!$D152-1))&lt;0,0,(EXTERNE_POZICIE!$B$41-12*('TCO TO BE- SW'!$D152-1))*((I$4+'TCO TO BE - HW'!I$4)/($E$4+'TCO TO BE - HW'!$E$4)*SUM(EXTERNE_POZICIE!$M$41:$M$52)*1.23)/EXTERNE_POZICIE!$B$41)),0)+IFERROR(SUM(#REF!)*'TCO TO BE- SW'!I$4/'TCO TO BE- SW'!$E$4,0)</f>
        <v>934.88207024029577</v>
      </c>
      <c r="J152" s="574">
        <f>IFERROR(IF((POZICIE_INTERNE!$B$41-12*('TCO TO BE- SW'!$D152-1))&gt;12,((J$4+'TCO TO BE - HW'!J$4)/($E$4+'TCO TO BE - HW'!$E$4)*SUM(POZICIE_INTERNE!$I$41:$I$52))/POZICIE_INTERNE!$B$41*12,IF((POZICIE_INTERNE!$B$41-12*('TCO TO BE- SW'!$D152-1))&lt;0,0,(POZICIE_INTERNE!$B$41-12*('TCO TO BE- SW'!$D152-1))*((J$4+'TCO TO BE - HW'!J$4)/($E$4+'TCO TO BE - HW'!$E$4)*SUM(POZICIE_INTERNE!$I$41:$I$52))/POZICIE_INTERNE!$B$41)),0)+IFERROR(IF((EXTERNE_POZICIE!$B$41-12*('TCO TO BE- SW'!$D152-1))&gt;12,((J$4+'TCO TO BE - HW'!J$4)/($E$4+'TCO TO BE - HW'!$E$4)*SUM(EXTERNE_POZICIE!$M$41:$M$52)*1.23)/EXTERNE_POZICIE!$B$41*12,IF((EXTERNE_POZICIE!$B$41-12*('TCO TO BE- SW'!$D152-1))&lt;0,0,(EXTERNE_POZICIE!$B$41-12*('TCO TO BE- SW'!$D152-1))*((J$4+'TCO TO BE - HW'!J$4)/($E$4+'TCO TO BE - HW'!$E$4)*SUM(EXTERNE_POZICIE!$M$41:$M$52)*1.23)/EXTERNE_POZICIE!$B$41)),0)+IFERROR(SUM(#REF!)*'TCO TO BE- SW'!J$4/'TCO TO BE- SW'!$E$4,0)</f>
        <v>1560.6499075785582</v>
      </c>
      <c r="K152" s="574">
        <f>IFERROR(IF((POZICIE_INTERNE!$B$41-12*('TCO TO BE- SW'!$D152-1))&gt;12,((K$4+'TCO TO BE - HW'!K$4)/($E$4+'TCO TO BE - HW'!$E$4)*SUM(POZICIE_INTERNE!$I$41:$I$52))/POZICIE_INTERNE!$B$41*12,IF((POZICIE_INTERNE!$B$41-12*('TCO TO BE- SW'!$D152-1))&lt;0,0,(POZICIE_INTERNE!$B$41-12*('TCO TO BE- SW'!$D152-1))*((K$4+'TCO TO BE - HW'!K$4)/($E$4+'TCO TO BE - HW'!$E$4)*SUM(POZICIE_INTERNE!$I$41:$I$52))/POZICIE_INTERNE!$B$41)),0)+IFERROR(IF((EXTERNE_POZICIE!$B$41-12*('TCO TO BE- SW'!$D152-1))&gt;12,((K$4+'TCO TO BE - HW'!K$4)/($E$4+'TCO TO BE - HW'!$E$4)*SUM(EXTERNE_POZICIE!$M$41:$M$52)*1.23)/EXTERNE_POZICIE!$B$41*12,IF((EXTERNE_POZICIE!$B$41-12*('TCO TO BE- SW'!$D152-1))&lt;0,0,(EXTERNE_POZICIE!$B$41-12*('TCO TO BE- SW'!$D152-1))*((K$4+'TCO TO BE - HW'!K$4)/($E$4+'TCO TO BE - HW'!$E$4)*SUM(EXTERNE_POZICIE!$M$41:$M$52)*1.23)/EXTERNE_POZICIE!$B$41)),0)+IFERROR(SUM(#REF!)*'TCO TO BE- SW'!K$4/'TCO TO BE- SW'!$E$4,0)</f>
        <v>312.88391866913122</v>
      </c>
      <c r="L152" s="574">
        <f>IFERROR(IF((POZICIE_INTERNE!$B$41-12*('TCO TO BE- SW'!$D152-1))&gt;12,((L$4+'TCO TO BE - HW'!L$4)/($E$4+'TCO TO BE - HW'!$E$4)*SUM(POZICIE_INTERNE!$I$41:$I$52))/POZICIE_INTERNE!$B$41*12,IF((POZICIE_INTERNE!$B$41-12*('TCO TO BE- SW'!$D152-1))&lt;0,0,(POZICIE_INTERNE!$B$41-12*('TCO TO BE- SW'!$D152-1))*((L$4+'TCO TO BE - HW'!L$4)/($E$4+'TCO TO BE - HW'!$E$4)*SUM(POZICIE_INTERNE!$I$41:$I$52))/POZICIE_INTERNE!$B$41)),0)+IFERROR(IF((EXTERNE_POZICIE!$B$41-12*('TCO TO BE- SW'!$D152-1))&gt;12,((L$4+'TCO TO BE - HW'!L$4)/($E$4+'TCO TO BE - HW'!$E$4)*SUM(EXTERNE_POZICIE!$M$41:$M$52)*1.23)/EXTERNE_POZICIE!$B$41*12,IF((EXTERNE_POZICIE!$B$41-12*('TCO TO BE- SW'!$D152-1))&lt;0,0,(EXTERNE_POZICIE!$B$41-12*('TCO TO BE- SW'!$D152-1))*((L$4+'TCO TO BE - HW'!L$4)/($E$4+'TCO TO BE - HW'!$E$4)*SUM(EXTERNE_POZICIE!$M$41:$M$52)*1.23)/EXTERNE_POZICIE!$B$41)),0)+IFERROR(SUM(#REF!)*'TCO TO BE- SW'!L$4/'TCO TO BE- SW'!$E$4,0)</f>
        <v>36151.286506469507</v>
      </c>
      <c r="M152" s="574">
        <f>IFERROR(IF((POZICIE_INTERNE!$B$41-12*('TCO TO BE- SW'!$D152-1))&gt;12,((M$4+'TCO TO BE - HW'!M$4)/($E$4+'TCO TO BE - HW'!$E$4)*SUM(POZICIE_INTERNE!$I$41:$I$52))/POZICIE_INTERNE!$B$41*12,IF((POZICIE_INTERNE!$B$41-12*('TCO TO BE- SW'!$D152-1))&lt;0,0,(POZICIE_INTERNE!$B$41-12*('TCO TO BE- SW'!$D152-1))*((M$4+'TCO TO BE - HW'!M$4)/($E$4+'TCO TO BE - HW'!$E$4)*SUM(POZICIE_INTERNE!$I$41:$I$52))/POZICIE_INTERNE!$B$41)),0)+IFERROR(IF((EXTERNE_POZICIE!$B$41-12*('TCO TO BE- SW'!$D152-1))&gt;12,((M$4+'TCO TO BE - HW'!M$4)/($E$4+'TCO TO BE - HW'!$E$4)*SUM(EXTERNE_POZICIE!$M$41:$M$52)*1.23)/EXTERNE_POZICIE!$B$41*12,IF((EXTERNE_POZICIE!$B$41-12*('TCO TO BE- SW'!$D152-1))&lt;0,0,(EXTERNE_POZICIE!$B$41-12*('TCO TO BE- SW'!$D152-1))*((M$4+'TCO TO BE - HW'!M$4)/($E$4+'TCO TO BE - HW'!$E$4)*SUM(EXTERNE_POZICIE!$M$41:$M$52)*1.23)/EXTERNE_POZICIE!$B$41)),0)+IFERROR(SUM(#REF!)*'TCO TO BE- SW'!M$4/'TCO TO BE- SW'!$E$4,0)</f>
        <v>7252.8754158964875</v>
      </c>
      <c r="N152" s="574">
        <f>IFERROR(IF((POZICIE_INTERNE!$B$41-12*('TCO TO BE- SW'!$D152-1))&gt;12,((N$4+'TCO TO BE - HW'!N$4)/($E$4+'TCO TO BE - HW'!$E$4)*SUM(POZICIE_INTERNE!$I$41:$I$52))/POZICIE_INTERNE!$B$41*12,IF((POZICIE_INTERNE!$B$41-12*('TCO TO BE- SW'!$D152-1))&lt;0,0,(POZICIE_INTERNE!$B$41-12*('TCO TO BE- SW'!$D152-1))*((N$4+'TCO TO BE - HW'!N$4)/($E$4+'TCO TO BE - HW'!$E$4)*SUM(POZICIE_INTERNE!$I$41:$I$52))/POZICIE_INTERNE!$B$41)),0)+IFERROR(IF((EXTERNE_POZICIE!$B$41-12*('TCO TO BE- SW'!$D152-1))&gt;12,((N$4+'TCO TO BE - HW'!N$4)/($E$4+'TCO TO BE - HW'!$E$4)*SUM(EXTERNE_POZICIE!$M$41:$M$52)*1.23)/EXTERNE_POZICIE!$B$41*12,IF((EXTERNE_POZICIE!$B$41-12*('TCO TO BE- SW'!$D152-1))&lt;0,0,(EXTERNE_POZICIE!$B$41-12*('TCO TO BE- SW'!$D152-1))*((N$4+'TCO TO BE - HW'!N$4)/($E$4+'TCO TO BE - HW'!$E$4)*SUM(EXTERNE_POZICIE!$M$41:$M$52)*1.23)/EXTERNE_POZICIE!$B$41)),0)+IFERROR(SUM(#REF!)*'TCO TO BE- SW'!N$4/'TCO TO BE- SW'!$E$4,0)</f>
        <v>3588.7408502772641</v>
      </c>
      <c r="O152" s="574">
        <f>IFERROR(IF((POZICIE_INTERNE!$B$41-12*('TCO TO BE- SW'!$D152-1))&gt;12,((O$4+'TCO TO BE - HW'!O$4)/($E$4+'TCO TO BE - HW'!$E$4)*SUM(POZICIE_INTERNE!$I$41:$I$52))/POZICIE_INTERNE!$B$41*12,IF((POZICIE_INTERNE!$B$41-12*('TCO TO BE- SW'!$D152-1))&lt;0,0,(POZICIE_INTERNE!$B$41-12*('TCO TO BE- SW'!$D152-1))*((O$4+'TCO TO BE - HW'!O$4)/($E$4+'TCO TO BE - HW'!$E$4)*SUM(POZICIE_INTERNE!$I$41:$I$52))/POZICIE_INTERNE!$B$41)),0)+IFERROR(IF((EXTERNE_POZICIE!$B$41-12*('TCO TO BE- SW'!$D152-1))&gt;12,((O$4+'TCO TO BE - HW'!O$4)/($E$4+'TCO TO BE - HW'!$E$4)*SUM(EXTERNE_POZICIE!$M$41:$M$52)*1.23)/EXTERNE_POZICIE!$B$41*12,IF((EXTERNE_POZICIE!$B$41-12*('TCO TO BE- SW'!$D152-1))&lt;0,0,(EXTERNE_POZICIE!$B$41-12*('TCO TO BE- SW'!$D152-1))*((O$4+'TCO TO BE - HW'!O$4)/($E$4+'TCO TO BE - HW'!$E$4)*SUM(EXTERNE_POZICIE!$M$41:$M$52)*1.23)/EXTERNE_POZICIE!$B$41)),0)+IFERROR(SUM(#REF!)*'TCO TO BE- SW'!O$4/'TCO TO BE- SW'!$E$4,0)</f>
        <v>29445.015526802214</v>
      </c>
      <c r="P152" s="574">
        <f>IFERROR(IF((POZICIE_INTERNE!$B$41-12*('TCO TO BE- SW'!$D152-1))&gt;12,((P$4+'TCO TO BE - HW'!P$4)/($E$4+'TCO TO BE - HW'!$E$4)*SUM(POZICIE_INTERNE!$I$41:$I$52))/POZICIE_INTERNE!$B$41*12,IF((POZICIE_INTERNE!$B$41-12*('TCO TO BE- SW'!$D152-1))&lt;0,0,(POZICIE_INTERNE!$B$41-12*('TCO TO BE- SW'!$D152-1))*((P$4+'TCO TO BE - HW'!P$4)/($E$4+'TCO TO BE - HW'!$E$4)*SUM(POZICIE_INTERNE!$I$41:$I$52))/POZICIE_INTERNE!$B$41)),0)+IFERROR(IF((EXTERNE_POZICIE!$B$41-12*('TCO TO BE- SW'!$D152-1))&gt;12,((P$4+'TCO TO BE - HW'!P$4)/($E$4+'TCO TO BE - HW'!$E$4)*SUM(EXTERNE_POZICIE!$M$41:$M$52)*1.23)/EXTERNE_POZICIE!$B$41*12,IF((EXTERNE_POZICIE!$B$41-12*('TCO TO BE- SW'!$D152-1))&lt;0,0,(EXTERNE_POZICIE!$B$41-12*('TCO TO BE- SW'!$D152-1))*((P$4+'TCO TO BE - HW'!P$4)/($E$4+'TCO TO BE - HW'!$E$4)*SUM(EXTERNE_POZICIE!$M$41:$M$52)*1.23)/EXTERNE_POZICIE!$B$41)),0)+IFERROR(SUM(#REF!)*'TCO TO BE- SW'!P$4/'TCO TO BE- SW'!$E$4,0)</f>
        <v>25501.924214417748</v>
      </c>
      <c r="Q152" s="574">
        <f>IFERROR(IF((POZICIE_INTERNE!$B$41-12*('TCO TO BE- SW'!$D152-1))&gt;12,((Q$4+'TCO TO BE - HW'!Q$4)/($E$4+'TCO TO BE - HW'!$E$4)*SUM(POZICIE_INTERNE!$I$41:$I$52))/POZICIE_INTERNE!$B$41*12,IF((POZICIE_INTERNE!$B$41-12*('TCO TO BE- SW'!$D152-1))&lt;0,0,(POZICIE_INTERNE!$B$41-12*('TCO TO BE- SW'!$D152-1))*((Q$4+'TCO TO BE - HW'!Q$4)/($E$4+'TCO TO BE - HW'!$E$4)*SUM(POZICIE_INTERNE!$I$41:$I$52))/POZICIE_INTERNE!$B$41)),0)+IFERROR(IF((EXTERNE_POZICIE!$B$41-12*('TCO TO BE- SW'!$D152-1))&gt;12,((Q$4+'TCO TO BE - HW'!Q$4)/($E$4+'TCO TO BE - HW'!$E$4)*SUM(EXTERNE_POZICIE!$M$41:$M$52)*1.23)/EXTERNE_POZICIE!$B$41*12,IF((EXTERNE_POZICIE!$B$41-12*('TCO TO BE- SW'!$D152-1))&lt;0,0,(EXTERNE_POZICIE!$B$41-12*('TCO TO BE- SW'!$D152-1))*((Q$4+'TCO TO BE - HW'!Q$4)/($E$4+'TCO TO BE - HW'!$E$4)*SUM(EXTERNE_POZICIE!$M$41:$M$52)*1.23)/EXTERNE_POZICIE!$B$41)),0)+IFERROR(SUM(#REF!)*'TCO TO BE- SW'!Q$4/'TCO TO BE- SW'!$E$4,0)</f>
        <v>0</v>
      </c>
      <c r="R152" s="574">
        <f>IFERROR(IF((POZICIE_INTERNE!$B$41-12*('TCO TO BE- SW'!$D152-1))&gt;12,((R$4+'TCO TO BE - HW'!R$4)/($E$4+'TCO TO BE - HW'!$E$4)*SUM(POZICIE_INTERNE!$I$41:$I$52))/POZICIE_INTERNE!$B$41*12,IF((POZICIE_INTERNE!$B$41-12*('TCO TO BE- SW'!$D152-1))&lt;0,0,(POZICIE_INTERNE!$B$41-12*('TCO TO BE- SW'!$D152-1))*((R$4+'TCO TO BE - HW'!R$4)/($E$4+'TCO TO BE - HW'!$E$4)*SUM(POZICIE_INTERNE!$I$41:$I$52))/POZICIE_INTERNE!$B$41)),0)+IFERROR(IF((EXTERNE_POZICIE!$B$41-12*('TCO TO BE- SW'!$D152-1))&gt;12,((R$4+'TCO TO BE - HW'!R$4)/($E$4+'TCO TO BE - HW'!$E$4)*SUM(EXTERNE_POZICIE!$M$41:$M$52)*1.23)/EXTERNE_POZICIE!$B$41*12,IF((EXTERNE_POZICIE!$B$41-12*('TCO TO BE- SW'!$D152-1))&lt;0,0,(EXTERNE_POZICIE!$B$41-12*('TCO TO BE- SW'!$D152-1))*((R$4+'TCO TO BE - HW'!R$4)/($E$4+'TCO TO BE - HW'!$E$4)*SUM(EXTERNE_POZICIE!$M$41:$M$52)*1.23)/EXTERNE_POZICIE!$B$41)),0)+IFERROR(SUM(#REF!)*'TCO TO BE- SW'!R$4/'TCO TO BE- SW'!$E$4,0)</f>
        <v>0</v>
      </c>
      <c r="S152" s="574">
        <f>IFERROR(IF((POZICIE_INTERNE!$B$41-12*('TCO TO BE- SW'!$D152-1))&gt;12,((S$4+'TCO TO BE - HW'!S$4)/($E$4+'TCO TO BE - HW'!$E$4)*SUM(POZICIE_INTERNE!$I$41:$I$52))/POZICIE_INTERNE!$B$41*12,IF((POZICIE_INTERNE!$B$41-12*('TCO TO BE- SW'!$D152-1))&lt;0,0,(POZICIE_INTERNE!$B$41-12*('TCO TO BE- SW'!$D152-1))*((S$4+'TCO TO BE - HW'!S$4)/($E$4+'TCO TO BE - HW'!$E$4)*SUM(POZICIE_INTERNE!$I$41:$I$52))/POZICIE_INTERNE!$B$41)),0)+IFERROR(IF((EXTERNE_POZICIE!$B$41-12*('TCO TO BE- SW'!$D152-1))&gt;12,((S$4+'TCO TO BE - HW'!S$4)/($E$4+'TCO TO BE - HW'!$E$4)*SUM(EXTERNE_POZICIE!$M$41:$M$52)*1.23)/EXTERNE_POZICIE!$B$41*12,IF((EXTERNE_POZICIE!$B$41-12*('TCO TO BE- SW'!$D152-1))&lt;0,0,(EXTERNE_POZICIE!$B$41-12*('TCO TO BE- SW'!$D152-1))*((S$4+'TCO TO BE - HW'!S$4)/($E$4+'TCO TO BE - HW'!$E$4)*SUM(EXTERNE_POZICIE!$M$41:$M$52)*1.23)/EXTERNE_POZICIE!$B$41)),0)+IFERROR(SUM(#REF!)*'TCO TO BE- SW'!S$4/'TCO TO BE- SW'!$E$4,0)</f>
        <v>0</v>
      </c>
      <c r="T152" s="574">
        <f>IFERROR(IF((POZICIE_INTERNE!$B$41-12*('TCO TO BE- SW'!$D152-1))&gt;12,((T$4+'TCO TO BE - HW'!T$4)/($E$4+'TCO TO BE - HW'!$E$4)*SUM(POZICIE_INTERNE!$I$41:$I$52))/POZICIE_INTERNE!$B$41*12,IF((POZICIE_INTERNE!$B$41-12*('TCO TO BE- SW'!$D152-1))&lt;0,0,(POZICIE_INTERNE!$B$41-12*('TCO TO BE- SW'!$D152-1))*((T$4+'TCO TO BE - HW'!T$4)/($E$4+'TCO TO BE - HW'!$E$4)*SUM(POZICIE_INTERNE!$I$41:$I$52))/POZICIE_INTERNE!$B$41)),0)+IFERROR(IF((EXTERNE_POZICIE!$B$41-12*('TCO TO BE- SW'!$D152-1))&gt;12,((T$4+'TCO TO BE - HW'!T$4)/($E$4+'TCO TO BE - HW'!$E$4)*SUM(EXTERNE_POZICIE!$M$41:$M$52)*1.23)/EXTERNE_POZICIE!$B$41*12,IF((EXTERNE_POZICIE!$B$41-12*('TCO TO BE- SW'!$D152-1))&lt;0,0,(EXTERNE_POZICIE!$B$41-12*('TCO TO BE- SW'!$D152-1))*((T$4+'TCO TO BE - HW'!T$4)/($E$4+'TCO TO BE - HW'!$E$4)*SUM(EXTERNE_POZICIE!$M$41:$M$52)*1.23)/EXTERNE_POZICIE!$B$41)),0)+IFERROR(SUM(#REF!)*'TCO TO BE- SW'!T$4/'TCO TO BE- SW'!$E$4,0)</f>
        <v>0</v>
      </c>
      <c r="U152" s="574">
        <f>IFERROR(IF((POZICIE_INTERNE!$B$41-12*('TCO TO BE- SW'!$D152-1))&gt;12,((U$4+'TCO TO BE - HW'!U$4)/($E$4+'TCO TO BE - HW'!$E$4)*SUM(POZICIE_INTERNE!$I$41:$I$52))/POZICIE_INTERNE!$B$41*12,IF((POZICIE_INTERNE!$B$41-12*('TCO TO BE- SW'!$D152-1))&lt;0,0,(POZICIE_INTERNE!$B$41-12*('TCO TO BE- SW'!$D152-1))*((U$4+'TCO TO BE - HW'!U$4)/($E$4+'TCO TO BE - HW'!$E$4)*SUM(POZICIE_INTERNE!$I$41:$I$52))/POZICIE_INTERNE!$B$41)),0)+IFERROR(IF((EXTERNE_POZICIE!$B$41-12*('TCO TO BE- SW'!$D152-1))&gt;12,((U$4+'TCO TO BE - HW'!U$4)/($E$4+'TCO TO BE - HW'!$E$4)*SUM(EXTERNE_POZICIE!$M$41:$M$52)*1.23)/EXTERNE_POZICIE!$B$41*12,IF((EXTERNE_POZICIE!$B$41-12*('TCO TO BE- SW'!$D152-1))&lt;0,0,(EXTERNE_POZICIE!$B$41-12*('TCO TO BE- SW'!$D152-1))*((U$4+'TCO TO BE - HW'!U$4)/($E$4+'TCO TO BE - HW'!$E$4)*SUM(EXTERNE_POZICIE!$M$41:$M$52)*1.23)/EXTERNE_POZICIE!$B$41)),0)+IFERROR(SUM(#REF!)*'TCO TO BE- SW'!U$4/'TCO TO BE- SW'!$E$4,0)</f>
        <v>0</v>
      </c>
      <c r="V152" s="574">
        <f>IFERROR(IF((POZICIE_INTERNE!$B$41-12*('TCO TO BE- SW'!$D152-1))&gt;12,((V$4+'TCO TO BE - HW'!V$4)/($E$4+'TCO TO BE - HW'!$E$4)*SUM(POZICIE_INTERNE!$I$41:$I$52))/POZICIE_INTERNE!$B$41*12,IF((POZICIE_INTERNE!$B$41-12*('TCO TO BE- SW'!$D152-1))&lt;0,0,(POZICIE_INTERNE!$B$41-12*('TCO TO BE- SW'!$D152-1))*((V$4+'TCO TO BE - HW'!V$4)/($E$4+'TCO TO BE - HW'!$E$4)*SUM(POZICIE_INTERNE!$I$41:$I$52))/POZICIE_INTERNE!$B$41)),0)+IFERROR(IF((EXTERNE_POZICIE!$B$41-12*('TCO TO BE- SW'!$D152-1))&gt;12,((V$4+'TCO TO BE - HW'!V$4)/($E$4+'TCO TO BE - HW'!$E$4)*SUM(EXTERNE_POZICIE!$M$41:$M$52)*1.23)/EXTERNE_POZICIE!$B$41*12,IF((EXTERNE_POZICIE!$B$41-12*('TCO TO BE- SW'!$D152-1))&lt;0,0,(EXTERNE_POZICIE!$B$41-12*('TCO TO BE- SW'!$D152-1))*((V$4+'TCO TO BE - HW'!V$4)/($E$4+'TCO TO BE - HW'!$E$4)*SUM(EXTERNE_POZICIE!$M$41:$M$52)*1.23)/EXTERNE_POZICIE!$B$41)),0)+IFERROR(SUM(#REF!)*'TCO TO BE- SW'!V$4/'TCO TO BE- SW'!$E$4,0)</f>
        <v>0</v>
      </c>
      <c r="W152" s="574">
        <f>IFERROR(IF((POZICIE_INTERNE!$B$41-12*('TCO TO BE- SW'!$D152-1))&gt;12,((W$4+'TCO TO BE - HW'!W$4)/($E$4+'TCO TO BE - HW'!$E$4)*SUM(POZICIE_INTERNE!$I$41:$I$52))/POZICIE_INTERNE!$B$41*12,IF((POZICIE_INTERNE!$B$41-12*('TCO TO BE- SW'!$D152-1))&lt;0,0,(POZICIE_INTERNE!$B$41-12*('TCO TO BE- SW'!$D152-1))*((W$4+'TCO TO BE - HW'!W$4)/($E$4+'TCO TO BE - HW'!$E$4)*SUM(POZICIE_INTERNE!$I$41:$I$52))/POZICIE_INTERNE!$B$41)),0)+IFERROR(IF((EXTERNE_POZICIE!$B$41-12*('TCO TO BE- SW'!$D152-1))&gt;12,((W$4+'TCO TO BE - HW'!W$4)/($E$4+'TCO TO BE - HW'!$E$4)*SUM(EXTERNE_POZICIE!$M$41:$M$52)*1.23)/EXTERNE_POZICIE!$B$41*12,IF((EXTERNE_POZICIE!$B$41-12*('TCO TO BE- SW'!$D152-1))&lt;0,0,(EXTERNE_POZICIE!$B$41-12*('TCO TO BE- SW'!$D152-1))*((W$4+'TCO TO BE - HW'!W$4)/($E$4+'TCO TO BE - HW'!$E$4)*SUM(EXTERNE_POZICIE!$M$41:$M$52)*1.23)/EXTERNE_POZICIE!$B$41)),0)+IFERROR(SUM(#REF!)*'TCO TO BE- SW'!W$4/'TCO TO BE- SW'!$E$4,0)</f>
        <v>0</v>
      </c>
      <c r="X152" s="574">
        <f>IFERROR(IF((POZICIE_INTERNE!$B$41-12*('TCO TO BE- SW'!$D152-1))&gt;12,((X$4+'TCO TO BE - HW'!X$4)/($E$4+'TCO TO BE - HW'!$E$4)*SUM(POZICIE_INTERNE!$I$41:$I$52))/POZICIE_INTERNE!$B$41*12,IF((POZICIE_INTERNE!$B$41-12*('TCO TO BE- SW'!$D152-1))&lt;0,0,(POZICIE_INTERNE!$B$41-12*('TCO TO BE- SW'!$D152-1))*((X$4+'TCO TO BE - HW'!X$4)/($E$4+'TCO TO BE - HW'!$E$4)*SUM(POZICIE_INTERNE!$I$41:$I$52))/POZICIE_INTERNE!$B$41)),0)+IFERROR(IF((EXTERNE_POZICIE!$B$41-12*('TCO TO BE- SW'!$D152-1))&gt;12,((X$4+'TCO TO BE - HW'!X$4)/($E$4+'TCO TO BE - HW'!$E$4)*SUM(EXTERNE_POZICIE!$M$41:$M$52)*1.23)/EXTERNE_POZICIE!$B$41*12,IF((EXTERNE_POZICIE!$B$41-12*('TCO TO BE- SW'!$D152-1))&lt;0,0,(EXTERNE_POZICIE!$B$41-12*('TCO TO BE- SW'!$D152-1))*((X$4+'TCO TO BE - HW'!X$4)/($E$4+'TCO TO BE - HW'!$E$4)*SUM(EXTERNE_POZICIE!$M$41:$M$52)*1.23)/EXTERNE_POZICIE!$B$41)),0)+IFERROR(SUM(#REF!)*'TCO TO BE- SW'!X$4/'TCO TO BE- SW'!$E$4,0)</f>
        <v>0</v>
      </c>
      <c r="Y152" s="574">
        <f>IFERROR(IF((POZICIE_INTERNE!$B$41-12*('TCO TO BE- SW'!$D152-1))&gt;12,((Y$4+'TCO TO BE - HW'!Y$4)/($E$4+'TCO TO BE - HW'!$E$4)*SUM(POZICIE_INTERNE!$I$41:$I$52))/POZICIE_INTERNE!$B$41*12,IF((POZICIE_INTERNE!$B$41-12*('TCO TO BE- SW'!$D152-1))&lt;0,0,(POZICIE_INTERNE!$B$41-12*('TCO TO BE- SW'!$D152-1))*((Y$4+'TCO TO BE - HW'!Y$4)/($E$4+'TCO TO BE - HW'!$E$4)*SUM(POZICIE_INTERNE!$I$41:$I$52))/POZICIE_INTERNE!$B$41)),0)+IFERROR(IF((EXTERNE_POZICIE!$B$41-12*('TCO TO BE- SW'!$D152-1))&gt;12,((Y$4+'TCO TO BE - HW'!Y$4)/($E$4+'TCO TO BE - HW'!$E$4)*SUM(EXTERNE_POZICIE!$M$41:$M$52)*1.23)/EXTERNE_POZICIE!$B$41*12,IF((EXTERNE_POZICIE!$B$41-12*('TCO TO BE- SW'!$D152-1))&lt;0,0,(EXTERNE_POZICIE!$B$41-12*('TCO TO BE- SW'!$D152-1))*((Y$4+'TCO TO BE - HW'!Y$4)/($E$4+'TCO TO BE - HW'!$E$4)*SUM(EXTERNE_POZICIE!$M$41:$M$52)*1.23)/EXTERNE_POZICIE!$B$41)),0)+IFERROR(SUM(#REF!)*'TCO TO BE- SW'!Y$4/'TCO TO BE- SW'!$E$4,0)</f>
        <v>0</v>
      </c>
      <c r="Z152" s="574">
        <f>IFERROR(IF((POZICIE_INTERNE!$B$41-12*('TCO TO BE- SW'!$D152-1))&gt;12,((Z$4+'TCO TO BE - HW'!Z$4)/($E$4+'TCO TO BE - HW'!$E$4)*SUM(POZICIE_INTERNE!$I$41:$I$52))/POZICIE_INTERNE!$B$41*12,IF((POZICIE_INTERNE!$B$41-12*('TCO TO BE- SW'!$D152-1))&lt;0,0,(POZICIE_INTERNE!$B$41-12*('TCO TO BE- SW'!$D152-1))*((Z$4+'TCO TO BE - HW'!Z$4)/($E$4+'TCO TO BE - HW'!$E$4)*SUM(POZICIE_INTERNE!$I$41:$I$52))/POZICIE_INTERNE!$B$41)),0)+IFERROR(IF((EXTERNE_POZICIE!$B$41-12*('TCO TO BE- SW'!$D152-1))&gt;12,((Z$4+'TCO TO BE - HW'!Z$4)/($E$4+'TCO TO BE - HW'!$E$4)*SUM(EXTERNE_POZICIE!$M$41:$M$52)*1.23)/EXTERNE_POZICIE!$B$41*12,IF((EXTERNE_POZICIE!$B$41-12*('TCO TO BE- SW'!$D152-1))&lt;0,0,(EXTERNE_POZICIE!$B$41-12*('TCO TO BE- SW'!$D152-1))*((Z$4+'TCO TO BE - HW'!Z$4)/($E$4+'TCO TO BE - HW'!$E$4)*SUM(EXTERNE_POZICIE!$M$41:$M$52)*1.23)/EXTERNE_POZICIE!$B$41)),0)+IFERROR(SUM(#REF!)*'TCO TO BE- SW'!Z$4/'TCO TO BE- SW'!$E$4,0)</f>
        <v>0</v>
      </c>
    </row>
    <row r="153" spans="1:26">
      <c r="A153" s="817"/>
      <c r="B153" s="818"/>
      <c r="C153" s="818"/>
      <c r="D153" s="64">
        <v>3</v>
      </c>
      <c r="E153" s="68">
        <f t="shared" si="16"/>
        <v>65260.800000000003</v>
      </c>
      <c r="F153" s="574">
        <f>IFERROR(IF((POZICIE_INTERNE!$B$41-12*('TCO TO BE- SW'!$D153-1))&gt;12,((F$4+'TCO TO BE - HW'!F$4)/($E$4+'TCO TO BE - HW'!$E$4)*SUM(POZICIE_INTERNE!$I$41:$I$52))/POZICIE_INTERNE!$B$41*12,IF((POZICIE_INTERNE!$B$41-12*('TCO TO BE- SW'!$D153-1))&lt;0,0,(POZICIE_INTERNE!$B$41-12*('TCO TO BE- SW'!$D153-1))*((F$4+'TCO TO BE - HW'!F$4)/($E$4+'TCO TO BE - HW'!$E$4)*SUM(POZICIE_INTERNE!$I$41:$I$52))/POZICIE_INTERNE!$B$41)),0)+IFERROR(IF((EXTERNE_POZICIE!$B$41-12*('TCO TO BE- SW'!$D153-1))&gt;12,((F$4+'TCO TO BE - HW'!F$4)/($E$4+'TCO TO BE - HW'!$E$4)*SUM(EXTERNE_POZICIE!$M$41:$M$52)*1.23)/EXTERNE_POZICIE!$B$41*12,IF((EXTERNE_POZICIE!$B$41-12*('TCO TO BE- SW'!$D153-1))&lt;0,0,(EXTERNE_POZICIE!$B$41-12*('TCO TO BE- SW'!$D153-1))*((F$4+'TCO TO BE - HW'!F$4)/($E$4+'TCO TO BE - HW'!$E$4)*SUM(EXTERNE_POZICIE!$M$41:$M$52)*1.23)/EXTERNE_POZICIE!$B$41)),0)+IFERROR(SUM(#REF!)*'TCO TO BE- SW'!F$4/'TCO TO BE- SW'!$E$4,0)</f>
        <v>11307.172458410352</v>
      </c>
      <c r="G153" s="574">
        <f>IFERROR(IF((POZICIE_INTERNE!$B$41-12*('TCO TO BE- SW'!$D153-1))&gt;12,((G$4+'TCO TO BE - HW'!G$4)/($E$4+'TCO TO BE - HW'!$E$4)*SUM(POZICIE_INTERNE!$I$41:$I$52))/POZICIE_INTERNE!$B$41*12,IF((POZICIE_INTERNE!$B$41-12*('TCO TO BE- SW'!$D153-1))&lt;0,0,(POZICIE_INTERNE!$B$41-12*('TCO TO BE- SW'!$D153-1))*((G$4+'TCO TO BE - HW'!G$4)/($E$4+'TCO TO BE - HW'!$E$4)*SUM(POZICIE_INTERNE!$I$41:$I$52))/POZICIE_INTERNE!$B$41)),0)+IFERROR(IF((EXTERNE_POZICIE!$B$41-12*('TCO TO BE- SW'!$D153-1))&gt;12,((G$4+'TCO TO BE - HW'!G$4)/($E$4+'TCO TO BE - HW'!$E$4)*SUM(EXTERNE_POZICIE!$M$41:$M$52)*1.23)/EXTERNE_POZICIE!$B$41*12,IF((EXTERNE_POZICIE!$B$41-12*('TCO TO BE- SW'!$D153-1))&lt;0,0,(EXTERNE_POZICIE!$B$41-12*('TCO TO BE- SW'!$D153-1))*((G$4+'TCO TO BE - HW'!G$4)/($E$4+'TCO TO BE - HW'!$E$4)*SUM(EXTERNE_POZICIE!$M$41:$M$52)*1.23)/EXTERNE_POZICIE!$B$41)),0)+IFERROR(SUM(#REF!)*'TCO TO BE- SW'!G$4/'TCO TO BE- SW'!$E$4,0)</f>
        <v>799.17338262476892</v>
      </c>
      <c r="H153" s="574">
        <f>IFERROR(IF((POZICIE_INTERNE!$B$41-12*('TCO TO BE- SW'!$D153-1))&gt;12,((H$4+'TCO TO BE - HW'!H$4)/($E$4+'TCO TO BE - HW'!$E$4)*SUM(POZICIE_INTERNE!$I$41:$I$52))/POZICIE_INTERNE!$B$41*12,IF((POZICIE_INTERNE!$B$41-12*('TCO TO BE- SW'!$D153-1))&lt;0,0,(POZICIE_INTERNE!$B$41-12*('TCO TO BE- SW'!$D153-1))*((H$4+'TCO TO BE - HW'!H$4)/($E$4+'TCO TO BE - HW'!$E$4)*SUM(POZICIE_INTERNE!$I$41:$I$52))/POZICIE_INTERNE!$B$41)),0)+IFERROR(IF((EXTERNE_POZICIE!$B$41-12*('TCO TO BE- SW'!$D153-1))&gt;12,((H$4+'TCO TO BE - HW'!H$4)/($E$4+'TCO TO BE - HW'!$E$4)*SUM(EXTERNE_POZICIE!$M$41:$M$52)*1.23)/EXTERNE_POZICIE!$B$41*12,IF((EXTERNE_POZICIE!$B$41-12*('TCO TO BE- SW'!$D153-1))&lt;0,0,(EXTERNE_POZICIE!$B$41-12*('TCO TO BE- SW'!$D153-1))*((H$4+'TCO TO BE - HW'!H$4)/($E$4+'TCO TO BE - HW'!$E$4)*SUM(EXTERNE_POZICIE!$M$41:$M$52)*1.23)/EXTERNE_POZICIE!$B$41)),0)+IFERROR(SUM(#REF!)*'TCO TO BE- SW'!H$4/'TCO TO BE- SW'!$E$4,0)</f>
        <v>780.32495378927922</v>
      </c>
      <c r="I153" s="574">
        <f>IFERROR(IF((POZICIE_INTERNE!$B$41-12*('TCO TO BE- SW'!$D153-1))&gt;12,((I$4+'TCO TO BE - HW'!I$4)/($E$4+'TCO TO BE - HW'!$E$4)*SUM(POZICIE_INTERNE!$I$41:$I$52))/POZICIE_INTERNE!$B$41*12,IF((POZICIE_INTERNE!$B$41-12*('TCO TO BE- SW'!$D153-1))&lt;0,0,(POZICIE_INTERNE!$B$41-12*('TCO TO BE- SW'!$D153-1))*((I$4+'TCO TO BE - HW'!I$4)/($E$4+'TCO TO BE - HW'!$E$4)*SUM(POZICIE_INTERNE!$I$41:$I$52))/POZICIE_INTERNE!$B$41)),0)+IFERROR(IF((EXTERNE_POZICIE!$B$41-12*('TCO TO BE- SW'!$D153-1))&gt;12,((I$4+'TCO TO BE - HW'!I$4)/($E$4+'TCO TO BE - HW'!$E$4)*SUM(EXTERNE_POZICIE!$M$41:$M$52)*1.23)/EXTERNE_POZICIE!$B$41*12,IF((EXTERNE_POZICIE!$B$41-12*('TCO TO BE- SW'!$D153-1))&lt;0,0,(EXTERNE_POZICIE!$B$41-12*('TCO TO BE- SW'!$D153-1))*((I$4+'TCO TO BE - HW'!I$4)/($E$4+'TCO TO BE - HW'!$E$4)*SUM(EXTERNE_POZICIE!$M$41:$M$52)*1.23)/EXTERNE_POZICIE!$B$41)),0)+IFERROR(SUM(#REF!)*'TCO TO BE- SW'!I$4/'TCO TO BE- SW'!$E$4,0)</f>
        <v>467.44103512014789</v>
      </c>
      <c r="J153" s="574">
        <f>IFERROR(IF((POZICIE_INTERNE!$B$41-12*('TCO TO BE- SW'!$D153-1))&gt;12,((J$4+'TCO TO BE - HW'!J$4)/($E$4+'TCO TO BE - HW'!$E$4)*SUM(POZICIE_INTERNE!$I$41:$I$52))/POZICIE_INTERNE!$B$41*12,IF((POZICIE_INTERNE!$B$41-12*('TCO TO BE- SW'!$D153-1))&lt;0,0,(POZICIE_INTERNE!$B$41-12*('TCO TO BE- SW'!$D153-1))*((J$4+'TCO TO BE - HW'!J$4)/($E$4+'TCO TO BE - HW'!$E$4)*SUM(POZICIE_INTERNE!$I$41:$I$52))/POZICIE_INTERNE!$B$41)),0)+IFERROR(IF((EXTERNE_POZICIE!$B$41-12*('TCO TO BE- SW'!$D153-1))&gt;12,((J$4+'TCO TO BE - HW'!J$4)/($E$4+'TCO TO BE - HW'!$E$4)*SUM(EXTERNE_POZICIE!$M$41:$M$52)*1.23)/EXTERNE_POZICIE!$B$41*12,IF((EXTERNE_POZICIE!$B$41-12*('TCO TO BE- SW'!$D153-1))&lt;0,0,(EXTERNE_POZICIE!$B$41-12*('TCO TO BE- SW'!$D153-1))*((J$4+'TCO TO BE - HW'!J$4)/($E$4+'TCO TO BE - HW'!$E$4)*SUM(EXTERNE_POZICIE!$M$41:$M$52)*1.23)/EXTERNE_POZICIE!$B$41)),0)+IFERROR(SUM(#REF!)*'TCO TO BE- SW'!J$4/'TCO TO BE- SW'!$E$4,0)</f>
        <v>780.32495378927922</v>
      </c>
      <c r="K153" s="574">
        <f>IFERROR(IF((POZICIE_INTERNE!$B$41-12*('TCO TO BE- SW'!$D153-1))&gt;12,((K$4+'TCO TO BE - HW'!K$4)/($E$4+'TCO TO BE - HW'!$E$4)*SUM(POZICIE_INTERNE!$I$41:$I$52))/POZICIE_INTERNE!$B$41*12,IF((POZICIE_INTERNE!$B$41-12*('TCO TO BE- SW'!$D153-1))&lt;0,0,(POZICIE_INTERNE!$B$41-12*('TCO TO BE- SW'!$D153-1))*((K$4+'TCO TO BE - HW'!K$4)/($E$4+'TCO TO BE - HW'!$E$4)*SUM(POZICIE_INTERNE!$I$41:$I$52))/POZICIE_INTERNE!$B$41)),0)+IFERROR(IF((EXTERNE_POZICIE!$B$41-12*('TCO TO BE- SW'!$D153-1))&gt;12,((K$4+'TCO TO BE - HW'!K$4)/($E$4+'TCO TO BE - HW'!$E$4)*SUM(EXTERNE_POZICIE!$M$41:$M$52)*1.23)/EXTERNE_POZICIE!$B$41*12,IF((EXTERNE_POZICIE!$B$41-12*('TCO TO BE- SW'!$D153-1))&lt;0,0,(EXTERNE_POZICIE!$B$41-12*('TCO TO BE- SW'!$D153-1))*((K$4+'TCO TO BE - HW'!K$4)/($E$4+'TCO TO BE - HW'!$E$4)*SUM(EXTERNE_POZICIE!$M$41:$M$52)*1.23)/EXTERNE_POZICIE!$B$41)),0)+IFERROR(SUM(#REF!)*'TCO TO BE- SW'!K$4/'TCO TO BE- SW'!$E$4,0)</f>
        <v>156.44195933456564</v>
      </c>
      <c r="L153" s="574">
        <f>IFERROR(IF((POZICIE_INTERNE!$B$41-12*('TCO TO BE- SW'!$D153-1))&gt;12,((L$4+'TCO TO BE - HW'!L$4)/($E$4+'TCO TO BE - HW'!$E$4)*SUM(POZICIE_INTERNE!$I$41:$I$52))/POZICIE_INTERNE!$B$41*12,IF((POZICIE_INTERNE!$B$41-12*('TCO TO BE- SW'!$D153-1))&lt;0,0,(POZICIE_INTERNE!$B$41-12*('TCO TO BE- SW'!$D153-1))*((L$4+'TCO TO BE - HW'!L$4)/($E$4+'TCO TO BE - HW'!$E$4)*SUM(POZICIE_INTERNE!$I$41:$I$52))/POZICIE_INTERNE!$B$41)),0)+IFERROR(IF((EXTERNE_POZICIE!$B$41-12*('TCO TO BE- SW'!$D153-1))&gt;12,((L$4+'TCO TO BE - HW'!L$4)/($E$4+'TCO TO BE - HW'!$E$4)*SUM(EXTERNE_POZICIE!$M$41:$M$52)*1.23)/EXTERNE_POZICIE!$B$41*12,IF((EXTERNE_POZICIE!$B$41-12*('TCO TO BE- SW'!$D153-1))&lt;0,0,(EXTERNE_POZICIE!$B$41-12*('TCO TO BE- SW'!$D153-1))*((L$4+'TCO TO BE - HW'!L$4)/($E$4+'TCO TO BE - HW'!$E$4)*SUM(EXTERNE_POZICIE!$M$41:$M$52)*1.23)/EXTERNE_POZICIE!$B$41)),0)+IFERROR(SUM(#REF!)*'TCO TO BE- SW'!L$4/'TCO TO BE- SW'!$E$4,0)</f>
        <v>18075.64325323475</v>
      </c>
      <c r="M153" s="574">
        <f>IFERROR(IF((POZICIE_INTERNE!$B$41-12*('TCO TO BE- SW'!$D153-1))&gt;12,((M$4+'TCO TO BE - HW'!M$4)/($E$4+'TCO TO BE - HW'!$E$4)*SUM(POZICIE_INTERNE!$I$41:$I$52))/POZICIE_INTERNE!$B$41*12,IF((POZICIE_INTERNE!$B$41-12*('TCO TO BE- SW'!$D153-1))&lt;0,0,(POZICIE_INTERNE!$B$41-12*('TCO TO BE- SW'!$D153-1))*((M$4+'TCO TO BE - HW'!M$4)/($E$4+'TCO TO BE - HW'!$E$4)*SUM(POZICIE_INTERNE!$I$41:$I$52))/POZICIE_INTERNE!$B$41)),0)+IFERROR(IF((EXTERNE_POZICIE!$B$41-12*('TCO TO BE- SW'!$D153-1))&gt;12,((M$4+'TCO TO BE - HW'!M$4)/($E$4+'TCO TO BE - HW'!$E$4)*SUM(EXTERNE_POZICIE!$M$41:$M$52)*1.23)/EXTERNE_POZICIE!$B$41*12,IF((EXTERNE_POZICIE!$B$41-12*('TCO TO BE- SW'!$D153-1))&lt;0,0,(EXTERNE_POZICIE!$B$41-12*('TCO TO BE- SW'!$D153-1))*((M$4+'TCO TO BE - HW'!M$4)/($E$4+'TCO TO BE - HW'!$E$4)*SUM(EXTERNE_POZICIE!$M$41:$M$52)*1.23)/EXTERNE_POZICIE!$B$41)),0)+IFERROR(SUM(#REF!)*'TCO TO BE- SW'!M$4/'TCO TO BE- SW'!$E$4,0)</f>
        <v>3626.4377079482438</v>
      </c>
      <c r="N153" s="574">
        <f>IFERROR(IF((POZICIE_INTERNE!$B$41-12*('TCO TO BE- SW'!$D153-1))&gt;12,((N$4+'TCO TO BE - HW'!N$4)/($E$4+'TCO TO BE - HW'!$E$4)*SUM(POZICIE_INTERNE!$I$41:$I$52))/POZICIE_INTERNE!$B$41*12,IF((POZICIE_INTERNE!$B$41-12*('TCO TO BE- SW'!$D153-1))&lt;0,0,(POZICIE_INTERNE!$B$41-12*('TCO TO BE- SW'!$D153-1))*((N$4+'TCO TO BE - HW'!N$4)/($E$4+'TCO TO BE - HW'!$E$4)*SUM(POZICIE_INTERNE!$I$41:$I$52))/POZICIE_INTERNE!$B$41)),0)+IFERROR(IF((EXTERNE_POZICIE!$B$41-12*('TCO TO BE- SW'!$D153-1))&gt;12,((N$4+'TCO TO BE - HW'!N$4)/($E$4+'TCO TO BE - HW'!$E$4)*SUM(EXTERNE_POZICIE!$M$41:$M$52)*1.23)/EXTERNE_POZICIE!$B$41*12,IF((EXTERNE_POZICIE!$B$41-12*('TCO TO BE- SW'!$D153-1))&lt;0,0,(EXTERNE_POZICIE!$B$41-12*('TCO TO BE- SW'!$D153-1))*((N$4+'TCO TO BE - HW'!N$4)/($E$4+'TCO TO BE - HW'!$E$4)*SUM(EXTERNE_POZICIE!$M$41:$M$52)*1.23)/EXTERNE_POZICIE!$B$41)),0)+IFERROR(SUM(#REF!)*'TCO TO BE- SW'!N$4/'TCO TO BE- SW'!$E$4,0)</f>
        <v>1794.3704251386323</v>
      </c>
      <c r="O153" s="574">
        <f>IFERROR(IF((POZICIE_INTERNE!$B$41-12*('TCO TO BE- SW'!$D153-1))&gt;12,((O$4+'TCO TO BE - HW'!O$4)/($E$4+'TCO TO BE - HW'!$E$4)*SUM(POZICIE_INTERNE!$I$41:$I$52))/POZICIE_INTERNE!$B$41*12,IF((POZICIE_INTERNE!$B$41-12*('TCO TO BE- SW'!$D153-1))&lt;0,0,(POZICIE_INTERNE!$B$41-12*('TCO TO BE- SW'!$D153-1))*((O$4+'TCO TO BE - HW'!O$4)/($E$4+'TCO TO BE - HW'!$E$4)*SUM(POZICIE_INTERNE!$I$41:$I$52))/POZICIE_INTERNE!$B$41)),0)+IFERROR(IF((EXTERNE_POZICIE!$B$41-12*('TCO TO BE- SW'!$D153-1))&gt;12,((O$4+'TCO TO BE - HW'!O$4)/($E$4+'TCO TO BE - HW'!$E$4)*SUM(EXTERNE_POZICIE!$M$41:$M$52)*1.23)/EXTERNE_POZICIE!$B$41*12,IF((EXTERNE_POZICIE!$B$41-12*('TCO TO BE- SW'!$D153-1))&lt;0,0,(EXTERNE_POZICIE!$B$41-12*('TCO TO BE- SW'!$D153-1))*((O$4+'TCO TO BE - HW'!O$4)/($E$4+'TCO TO BE - HW'!$E$4)*SUM(EXTERNE_POZICIE!$M$41:$M$52)*1.23)/EXTERNE_POZICIE!$B$41)),0)+IFERROR(SUM(#REF!)*'TCO TO BE- SW'!O$4/'TCO TO BE- SW'!$E$4,0)</f>
        <v>14722.507763401109</v>
      </c>
      <c r="P153" s="574">
        <f>IFERROR(IF((POZICIE_INTERNE!$B$41-12*('TCO TO BE- SW'!$D153-1))&gt;12,((P$4+'TCO TO BE - HW'!P$4)/($E$4+'TCO TO BE - HW'!$E$4)*SUM(POZICIE_INTERNE!$I$41:$I$52))/POZICIE_INTERNE!$B$41*12,IF((POZICIE_INTERNE!$B$41-12*('TCO TO BE- SW'!$D153-1))&lt;0,0,(POZICIE_INTERNE!$B$41-12*('TCO TO BE- SW'!$D153-1))*((P$4+'TCO TO BE - HW'!P$4)/($E$4+'TCO TO BE - HW'!$E$4)*SUM(POZICIE_INTERNE!$I$41:$I$52))/POZICIE_INTERNE!$B$41)),0)+IFERROR(IF((EXTERNE_POZICIE!$B$41-12*('TCO TO BE- SW'!$D153-1))&gt;12,((P$4+'TCO TO BE - HW'!P$4)/($E$4+'TCO TO BE - HW'!$E$4)*SUM(EXTERNE_POZICIE!$M$41:$M$52)*1.23)/EXTERNE_POZICIE!$B$41*12,IF((EXTERNE_POZICIE!$B$41-12*('TCO TO BE- SW'!$D153-1))&lt;0,0,(EXTERNE_POZICIE!$B$41-12*('TCO TO BE- SW'!$D153-1))*((P$4+'TCO TO BE - HW'!P$4)/($E$4+'TCO TO BE - HW'!$E$4)*SUM(EXTERNE_POZICIE!$M$41:$M$52)*1.23)/EXTERNE_POZICIE!$B$41)),0)+IFERROR(SUM(#REF!)*'TCO TO BE- SW'!P$4/'TCO TO BE- SW'!$E$4,0)</f>
        <v>12750.962107208876</v>
      </c>
      <c r="Q153" s="574">
        <f>IFERROR(IF((POZICIE_INTERNE!$B$41-12*('TCO TO BE- SW'!$D153-1))&gt;12,((Q$4+'TCO TO BE - HW'!Q$4)/($E$4+'TCO TO BE - HW'!$E$4)*SUM(POZICIE_INTERNE!$I$41:$I$52))/POZICIE_INTERNE!$B$41*12,IF((POZICIE_INTERNE!$B$41-12*('TCO TO BE- SW'!$D153-1))&lt;0,0,(POZICIE_INTERNE!$B$41-12*('TCO TO BE- SW'!$D153-1))*((Q$4+'TCO TO BE - HW'!Q$4)/($E$4+'TCO TO BE - HW'!$E$4)*SUM(POZICIE_INTERNE!$I$41:$I$52))/POZICIE_INTERNE!$B$41)),0)+IFERROR(IF((EXTERNE_POZICIE!$B$41-12*('TCO TO BE- SW'!$D153-1))&gt;12,((Q$4+'TCO TO BE - HW'!Q$4)/($E$4+'TCO TO BE - HW'!$E$4)*SUM(EXTERNE_POZICIE!$M$41:$M$52)*1.23)/EXTERNE_POZICIE!$B$41*12,IF((EXTERNE_POZICIE!$B$41-12*('TCO TO BE- SW'!$D153-1))&lt;0,0,(EXTERNE_POZICIE!$B$41-12*('TCO TO BE- SW'!$D153-1))*((Q$4+'TCO TO BE - HW'!Q$4)/($E$4+'TCO TO BE - HW'!$E$4)*SUM(EXTERNE_POZICIE!$M$41:$M$52)*1.23)/EXTERNE_POZICIE!$B$41)),0)+IFERROR(SUM(#REF!)*'TCO TO BE- SW'!Q$4/'TCO TO BE- SW'!$E$4,0)</f>
        <v>0</v>
      </c>
      <c r="R153" s="574">
        <f>IFERROR(IF((POZICIE_INTERNE!$B$41-12*('TCO TO BE- SW'!$D153-1))&gt;12,((R$4+'TCO TO BE - HW'!R$4)/($E$4+'TCO TO BE - HW'!$E$4)*SUM(POZICIE_INTERNE!$I$41:$I$52))/POZICIE_INTERNE!$B$41*12,IF((POZICIE_INTERNE!$B$41-12*('TCO TO BE- SW'!$D153-1))&lt;0,0,(POZICIE_INTERNE!$B$41-12*('TCO TO BE- SW'!$D153-1))*((R$4+'TCO TO BE - HW'!R$4)/($E$4+'TCO TO BE - HW'!$E$4)*SUM(POZICIE_INTERNE!$I$41:$I$52))/POZICIE_INTERNE!$B$41)),0)+IFERROR(IF((EXTERNE_POZICIE!$B$41-12*('TCO TO BE- SW'!$D153-1))&gt;12,((R$4+'TCO TO BE - HW'!R$4)/($E$4+'TCO TO BE - HW'!$E$4)*SUM(EXTERNE_POZICIE!$M$41:$M$52)*1.23)/EXTERNE_POZICIE!$B$41*12,IF((EXTERNE_POZICIE!$B$41-12*('TCO TO BE- SW'!$D153-1))&lt;0,0,(EXTERNE_POZICIE!$B$41-12*('TCO TO BE- SW'!$D153-1))*((R$4+'TCO TO BE - HW'!R$4)/($E$4+'TCO TO BE - HW'!$E$4)*SUM(EXTERNE_POZICIE!$M$41:$M$52)*1.23)/EXTERNE_POZICIE!$B$41)),0)+IFERROR(SUM(#REF!)*'TCO TO BE- SW'!R$4/'TCO TO BE- SW'!$E$4,0)</f>
        <v>0</v>
      </c>
      <c r="S153" s="574">
        <f>IFERROR(IF((POZICIE_INTERNE!$B$41-12*('TCO TO BE- SW'!$D153-1))&gt;12,((S$4+'TCO TO BE - HW'!S$4)/($E$4+'TCO TO BE - HW'!$E$4)*SUM(POZICIE_INTERNE!$I$41:$I$52))/POZICIE_INTERNE!$B$41*12,IF((POZICIE_INTERNE!$B$41-12*('TCO TO BE- SW'!$D153-1))&lt;0,0,(POZICIE_INTERNE!$B$41-12*('TCO TO BE- SW'!$D153-1))*((S$4+'TCO TO BE - HW'!S$4)/($E$4+'TCO TO BE - HW'!$E$4)*SUM(POZICIE_INTERNE!$I$41:$I$52))/POZICIE_INTERNE!$B$41)),0)+IFERROR(IF((EXTERNE_POZICIE!$B$41-12*('TCO TO BE- SW'!$D153-1))&gt;12,((S$4+'TCO TO BE - HW'!S$4)/($E$4+'TCO TO BE - HW'!$E$4)*SUM(EXTERNE_POZICIE!$M$41:$M$52)*1.23)/EXTERNE_POZICIE!$B$41*12,IF((EXTERNE_POZICIE!$B$41-12*('TCO TO BE- SW'!$D153-1))&lt;0,0,(EXTERNE_POZICIE!$B$41-12*('TCO TO BE- SW'!$D153-1))*((S$4+'TCO TO BE - HW'!S$4)/($E$4+'TCO TO BE - HW'!$E$4)*SUM(EXTERNE_POZICIE!$M$41:$M$52)*1.23)/EXTERNE_POZICIE!$B$41)),0)+IFERROR(SUM(#REF!)*'TCO TO BE- SW'!S$4/'TCO TO BE- SW'!$E$4,0)</f>
        <v>0</v>
      </c>
      <c r="T153" s="574">
        <f>IFERROR(IF((POZICIE_INTERNE!$B$41-12*('TCO TO BE- SW'!$D153-1))&gt;12,((T$4+'TCO TO BE - HW'!T$4)/($E$4+'TCO TO BE - HW'!$E$4)*SUM(POZICIE_INTERNE!$I$41:$I$52))/POZICIE_INTERNE!$B$41*12,IF((POZICIE_INTERNE!$B$41-12*('TCO TO BE- SW'!$D153-1))&lt;0,0,(POZICIE_INTERNE!$B$41-12*('TCO TO BE- SW'!$D153-1))*((T$4+'TCO TO BE - HW'!T$4)/($E$4+'TCO TO BE - HW'!$E$4)*SUM(POZICIE_INTERNE!$I$41:$I$52))/POZICIE_INTERNE!$B$41)),0)+IFERROR(IF((EXTERNE_POZICIE!$B$41-12*('TCO TO BE- SW'!$D153-1))&gt;12,((T$4+'TCO TO BE - HW'!T$4)/($E$4+'TCO TO BE - HW'!$E$4)*SUM(EXTERNE_POZICIE!$M$41:$M$52)*1.23)/EXTERNE_POZICIE!$B$41*12,IF((EXTERNE_POZICIE!$B$41-12*('TCO TO BE- SW'!$D153-1))&lt;0,0,(EXTERNE_POZICIE!$B$41-12*('TCO TO BE- SW'!$D153-1))*((T$4+'TCO TO BE - HW'!T$4)/($E$4+'TCO TO BE - HW'!$E$4)*SUM(EXTERNE_POZICIE!$M$41:$M$52)*1.23)/EXTERNE_POZICIE!$B$41)),0)+IFERROR(SUM(#REF!)*'TCO TO BE- SW'!T$4/'TCO TO BE- SW'!$E$4,0)</f>
        <v>0</v>
      </c>
      <c r="U153" s="574">
        <f>IFERROR(IF((POZICIE_INTERNE!$B$41-12*('TCO TO BE- SW'!$D153-1))&gt;12,((U$4+'TCO TO BE - HW'!U$4)/($E$4+'TCO TO BE - HW'!$E$4)*SUM(POZICIE_INTERNE!$I$41:$I$52))/POZICIE_INTERNE!$B$41*12,IF((POZICIE_INTERNE!$B$41-12*('TCO TO BE- SW'!$D153-1))&lt;0,0,(POZICIE_INTERNE!$B$41-12*('TCO TO BE- SW'!$D153-1))*((U$4+'TCO TO BE - HW'!U$4)/($E$4+'TCO TO BE - HW'!$E$4)*SUM(POZICIE_INTERNE!$I$41:$I$52))/POZICIE_INTERNE!$B$41)),0)+IFERROR(IF((EXTERNE_POZICIE!$B$41-12*('TCO TO BE- SW'!$D153-1))&gt;12,((U$4+'TCO TO BE - HW'!U$4)/($E$4+'TCO TO BE - HW'!$E$4)*SUM(EXTERNE_POZICIE!$M$41:$M$52)*1.23)/EXTERNE_POZICIE!$B$41*12,IF((EXTERNE_POZICIE!$B$41-12*('TCO TO BE- SW'!$D153-1))&lt;0,0,(EXTERNE_POZICIE!$B$41-12*('TCO TO BE- SW'!$D153-1))*((U$4+'TCO TO BE - HW'!U$4)/($E$4+'TCO TO BE - HW'!$E$4)*SUM(EXTERNE_POZICIE!$M$41:$M$52)*1.23)/EXTERNE_POZICIE!$B$41)),0)+IFERROR(SUM(#REF!)*'TCO TO BE- SW'!U$4/'TCO TO BE- SW'!$E$4,0)</f>
        <v>0</v>
      </c>
      <c r="V153" s="574">
        <f>IFERROR(IF((POZICIE_INTERNE!$B$41-12*('TCO TO BE- SW'!$D153-1))&gt;12,((V$4+'TCO TO BE - HW'!V$4)/($E$4+'TCO TO BE - HW'!$E$4)*SUM(POZICIE_INTERNE!$I$41:$I$52))/POZICIE_INTERNE!$B$41*12,IF((POZICIE_INTERNE!$B$41-12*('TCO TO BE- SW'!$D153-1))&lt;0,0,(POZICIE_INTERNE!$B$41-12*('TCO TO BE- SW'!$D153-1))*((V$4+'TCO TO BE - HW'!V$4)/($E$4+'TCO TO BE - HW'!$E$4)*SUM(POZICIE_INTERNE!$I$41:$I$52))/POZICIE_INTERNE!$B$41)),0)+IFERROR(IF((EXTERNE_POZICIE!$B$41-12*('TCO TO BE- SW'!$D153-1))&gt;12,((V$4+'TCO TO BE - HW'!V$4)/($E$4+'TCO TO BE - HW'!$E$4)*SUM(EXTERNE_POZICIE!$M$41:$M$52)*1.23)/EXTERNE_POZICIE!$B$41*12,IF((EXTERNE_POZICIE!$B$41-12*('TCO TO BE- SW'!$D153-1))&lt;0,0,(EXTERNE_POZICIE!$B$41-12*('TCO TO BE- SW'!$D153-1))*((V$4+'TCO TO BE - HW'!V$4)/($E$4+'TCO TO BE - HW'!$E$4)*SUM(EXTERNE_POZICIE!$M$41:$M$52)*1.23)/EXTERNE_POZICIE!$B$41)),0)+IFERROR(SUM(#REF!)*'TCO TO BE- SW'!V$4/'TCO TO BE- SW'!$E$4,0)</f>
        <v>0</v>
      </c>
      <c r="W153" s="574">
        <f>IFERROR(IF((POZICIE_INTERNE!$B$41-12*('TCO TO BE- SW'!$D153-1))&gt;12,((W$4+'TCO TO BE - HW'!W$4)/($E$4+'TCO TO BE - HW'!$E$4)*SUM(POZICIE_INTERNE!$I$41:$I$52))/POZICIE_INTERNE!$B$41*12,IF((POZICIE_INTERNE!$B$41-12*('TCO TO BE- SW'!$D153-1))&lt;0,0,(POZICIE_INTERNE!$B$41-12*('TCO TO BE- SW'!$D153-1))*((W$4+'TCO TO BE - HW'!W$4)/($E$4+'TCO TO BE - HW'!$E$4)*SUM(POZICIE_INTERNE!$I$41:$I$52))/POZICIE_INTERNE!$B$41)),0)+IFERROR(IF((EXTERNE_POZICIE!$B$41-12*('TCO TO BE- SW'!$D153-1))&gt;12,((W$4+'TCO TO BE - HW'!W$4)/($E$4+'TCO TO BE - HW'!$E$4)*SUM(EXTERNE_POZICIE!$M$41:$M$52)*1.23)/EXTERNE_POZICIE!$B$41*12,IF((EXTERNE_POZICIE!$B$41-12*('TCO TO BE- SW'!$D153-1))&lt;0,0,(EXTERNE_POZICIE!$B$41-12*('TCO TO BE- SW'!$D153-1))*((W$4+'TCO TO BE - HW'!W$4)/($E$4+'TCO TO BE - HW'!$E$4)*SUM(EXTERNE_POZICIE!$M$41:$M$52)*1.23)/EXTERNE_POZICIE!$B$41)),0)+IFERROR(SUM(#REF!)*'TCO TO BE- SW'!W$4/'TCO TO BE- SW'!$E$4,0)</f>
        <v>0</v>
      </c>
      <c r="X153" s="574">
        <f>IFERROR(IF((POZICIE_INTERNE!$B$41-12*('TCO TO BE- SW'!$D153-1))&gt;12,((X$4+'TCO TO BE - HW'!X$4)/($E$4+'TCO TO BE - HW'!$E$4)*SUM(POZICIE_INTERNE!$I$41:$I$52))/POZICIE_INTERNE!$B$41*12,IF((POZICIE_INTERNE!$B$41-12*('TCO TO BE- SW'!$D153-1))&lt;0,0,(POZICIE_INTERNE!$B$41-12*('TCO TO BE- SW'!$D153-1))*((X$4+'TCO TO BE - HW'!X$4)/($E$4+'TCO TO BE - HW'!$E$4)*SUM(POZICIE_INTERNE!$I$41:$I$52))/POZICIE_INTERNE!$B$41)),0)+IFERROR(IF((EXTERNE_POZICIE!$B$41-12*('TCO TO BE- SW'!$D153-1))&gt;12,((X$4+'TCO TO BE - HW'!X$4)/($E$4+'TCO TO BE - HW'!$E$4)*SUM(EXTERNE_POZICIE!$M$41:$M$52)*1.23)/EXTERNE_POZICIE!$B$41*12,IF((EXTERNE_POZICIE!$B$41-12*('TCO TO BE- SW'!$D153-1))&lt;0,0,(EXTERNE_POZICIE!$B$41-12*('TCO TO BE- SW'!$D153-1))*((X$4+'TCO TO BE - HW'!X$4)/($E$4+'TCO TO BE - HW'!$E$4)*SUM(EXTERNE_POZICIE!$M$41:$M$52)*1.23)/EXTERNE_POZICIE!$B$41)),0)+IFERROR(SUM(#REF!)*'TCO TO BE- SW'!X$4/'TCO TO BE- SW'!$E$4,0)</f>
        <v>0</v>
      </c>
      <c r="Y153" s="574">
        <f>IFERROR(IF((POZICIE_INTERNE!$B$41-12*('TCO TO BE- SW'!$D153-1))&gt;12,((Y$4+'TCO TO BE - HW'!Y$4)/($E$4+'TCO TO BE - HW'!$E$4)*SUM(POZICIE_INTERNE!$I$41:$I$52))/POZICIE_INTERNE!$B$41*12,IF((POZICIE_INTERNE!$B$41-12*('TCO TO BE- SW'!$D153-1))&lt;0,0,(POZICIE_INTERNE!$B$41-12*('TCO TO BE- SW'!$D153-1))*((Y$4+'TCO TO BE - HW'!Y$4)/($E$4+'TCO TO BE - HW'!$E$4)*SUM(POZICIE_INTERNE!$I$41:$I$52))/POZICIE_INTERNE!$B$41)),0)+IFERROR(IF((EXTERNE_POZICIE!$B$41-12*('TCO TO BE- SW'!$D153-1))&gt;12,((Y$4+'TCO TO BE - HW'!Y$4)/($E$4+'TCO TO BE - HW'!$E$4)*SUM(EXTERNE_POZICIE!$M$41:$M$52)*1.23)/EXTERNE_POZICIE!$B$41*12,IF((EXTERNE_POZICIE!$B$41-12*('TCO TO BE- SW'!$D153-1))&lt;0,0,(EXTERNE_POZICIE!$B$41-12*('TCO TO BE- SW'!$D153-1))*((Y$4+'TCO TO BE - HW'!Y$4)/($E$4+'TCO TO BE - HW'!$E$4)*SUM(EXTERNE_POZICIE!$M$41:$M$52)*1.23)/EXTERNE_POZICIE!$B$41)),0)+IFERROR(SUM(#REF!)*'TCO TO BE- SW'!Y$4/'TCO TO BE- SW'!$E$4,0)</f>
        <v>0</v>
      </c>
      <c r="Z153" s="574">
        <f>IFERROR(IF((POZICIE_INTERNE!$B$41-12*('TCO TO BE- SW'!$D153-1))&gt;12,((Z$4+'TCO TO BE - HW'!Z$4)/($E$4+'TCO TO BE - HW'!$E$4)*SUM(POZICIE_INTERNE!$I$41:$I$52))/POZICIE_INTERNE!$B$41*12,IF((POZICIE_INTERNE!$B$41-12*('TCO TO BE- SW'!$D153-1))&lt;0,0,(POZICIE_INTERNE!$B$41-12*('TCO TO BE- SW'!$D153-1))*((Z$4+'TCO TO BE - HW'!Z$4)/($E$4+'TCO TO BE - HW'!$E$4)*SUM(POZICIE_INTERNE!$I$41:$I$52))/POZICIE_INTERNE!$B$41)),0)+IFERROR(IF((EXTERNE_POZICIE!$B$41-12*('TCO TO BE- SW'!$D153-1))&gt;12,((Z$4+'TCO TO BE - HW'!Z$4)/($E$4+'TCO TO BE - HW'!$E$4)*SUM(EXTERNE_POZICIE!$M$41:$M$52)*1.23)/EXTERNE_POZICIE!$B$41*12,IF((EXTERNE_POZICIE!$B$41-12*('TCO TO BE- SW'!$D153-1))&lt;0,0,(EXTERNE_POZICIE!$B$41-12*('TCO TO BE- SW'!$D153-1))*((Z$4+'TCO TO BE - HW'!Z$4)/($E$4+'TCO TO BE - HW'!$E$4)*SUM(EXTERNE_POZICIE!$M$41:$M$52)*1.23)/EXTERNE_POZICIE!$B$41)),0)+IFERROR(SUM(#REF!)*'TCO TO BE- SW'!Z$4/'TCO TO BE- SW'!$E$4,0)</f>
        <v>0</v>
      </c>
    </row>
    <row r="154" spans="1:26">
      <c r="A154" s="817"/>
      <c r="B154" s="818"/>
      <c r="C154" s="818"/>
      <c r="D154" s="64">
        <v>4</v>
      </c>
      <c r="E154" s="68">
        <f t="shared" si="16"/>
        <v>0</v>
      </c>
      <c r="F154" s="574">
        <f>IFERROR(IF((POZICIE_INTERNE!$B$41-12*('TCO TO BE- SW'!$D154-1))&gt;12,((F$4+'TCO TO BE - HW'!F$4)/($E$4+'TCO TO BE - HW'!$E$4)*SUM(POZICIE_INTERNE!$I$41:$I$52))/POZICIE_INTERNE!$B$41*12,IF((POZICIE_INTERNE!$B$41-12*('TCO TO BE- SW'!$D154-1))&lt;0,0,(POZICIE_INTERNE!$B$41-12*('TCO TO BE- SW'!$D154-1))*((F$4+'TCO TO BE - HW'!F$4)/($E$4+'TCO TO BE - HW'!$E$4)*SUM(POZICIE_INTERNE!$I$41:$I$52))/POZICIE_INTERNE!$B$41)),0)+IFERROR(IF((EXTERNE_POZICIE!$B$41-12*('TCO TO BE- SW'!$D154-1))&gt;12,((F$4+'TCO TO BE - HW'!F$4)/($E$4+'TCO TO BE - HW'!$E$4)*SUM(EXTERNE_POZICIE!$M$41:$M$52)*1.23)/EXTERNE_POZICIE!$B$41*12,IF((EXTERNE_POZICIE!$B$41-12*('TCO TO BE- SW'!$D154-1))&lt;0,0,(EXTERNE_POZICIE!$B$41-12*('TCO TO BE- SW'!$D154-1))*((F$4+'TCO TO BE - HW'!F$4)/($E$4+'TCO TO BE - HW'!$E$4)*SUM(EXTERNE_POZICIE!$M$41:$M$52)*1.23)/EXTERNE_POZICIE!$B$41)),0)+IFERROR(SUM(#REF!)*'TCO TO BE- SW'!F$4/'TCO TO BE- SW'!$E$4,0)</f>
        <v>0</v>
      </c>
      <c r="G154" s="574">
        <f>IFERROR(IF((POZICIE_INTERNE!$B$41-12*('TCO TO BE- SW'!$D154-1))&gt;12,((G$4+'TCO TO BE - HW'!G$4)/($E$4+'TCO TO BE - HW'!$E$4)*SUM(POZICIE_INTERNE!$I$41:$I$52))/POZICIE_INTERNE!$B$41*12,IF((POZICIE_INTERNE!$B$41-12*('TCO TO BE- SW'!$D154-1))&lt;0,0,(POZICIE_INTERNE!$B$41-12*('TCO TO BE- SW'!$D154-1))*((G$4+'TCO TO BE - HW'!G$4)/($E$4+'TCO TO BE - HW'!$E$4)*SUM(POZICIE_INTERNE!$I$41:$I$52))/POZICIE_INTERNE!$B$41)),0)+IFERROR(IF((EXTERNE_POZICIE!$B$41-12*('TCO TO BE- SW'!$D154-1))&gt;12,((G$4+'TCO TO BE - HW'!G$4)/($E$4+'TCO TO BE - HW'!$E$4)*SUM(EXTERNE_POZICIE!$M$41:$M$52)*1.23)/EXTERNE_POZICIE!$B$41*12,IF((EXTERNE_POZICIE!$B$41-12*('TCO TO BE- SW'!$D154-1))&lt;0,0,(EXTERNE_POZICIE!$B$41-12*('TCO TO BE- SW'!$D154-1))*((G$4+'TCO TO BE - HW'!G$4)/($E$4+'TCO TO BE - HW'!$E$4)*SUM(EXTERNE_POZICIE!$M$41:$M$52)*1.23)/EXTERNE_POZICIE!$B$41)),0)+IFERROR(SUM(#REF!)*'TCO TO BE- SW'!G$4/'TCO TO BE- SW'!$E$4,0)</f>
        <v>0</v>
      </c>
      <c r="H154" s="574">
        <f>IFERROR(IF((POZICIE_INTERNE!$B$41-12*('TCO TO BE- SW'!$D154-1))&gt;12,((H$4+'TCO TO BE - HW'!H$4)/($E$4+'TCO TO BE - HW'!$E$4)*SUM(POZICIE_INTERNE!$I$41:$I$52))/POZICIE_INTERNE!$B$41*12,IF((POZICIE_INTERNE!$B$41-12*('TCO TO BE- SW'!$D154-1))&lt;0,0,(POZICIE_INTERNE!$B$41-12*('TCO TO BE- SW'!$D154-1))*((H$4+'TCO TO BE - HW'!H$4)/($E$4+'TCO TO BE - HW'!$E$4)*SUM(POZICIE_INTERNE!$I$41:$I$52))/POZICIE_INTERNE!$B$41)),0)+IFERROR(IF((EXTERNE_POZICIE!$B$41-12*('TCO TO BE- SW'!$D154-1))&gt;12,((H$4+'TCO TO BE - HW'!H$4)/($E$4+'TCO TO BE - HW'!$E$4)*SUM(EXTERNE_POZICIE!$M$41:$M$52)*1.23)/EXTERNE_POZICIE!$B$41*12,IF((EXTERNE_POZICIE!$B$41-12*('TCO TO BE- SW'!$D154-1))&lt;0,0,(EXTERNE_POZICIE!$B$41-12*('TCO TO BE- SW'!$D154-1))*((H$4+'TCO TO BE - HW'!H$4)/($E$4+'TCO TO BE - HW'!$E$4)*SUM(EXTERNE_POZICIE!$M$41:$M$52)*1.23)/EXTERNE_POZICIE!$B$41)),0)+IFERROR(SUM(#REF!)*'TCO TO BE- SW'!H$4/'TCO TO BE- SW'!$E$4,0)</f>
        <v>0</v>
      </c>
      <c r="I154" s="574">
        <f>IFERROR(IF((POZICIE_INTERNE!$B$41-12*('TCO TO BE- SW'!$D154-1))&gt;12,((I$4+'TCO TO BE - HW'!I$4)/($E$4+'TCO TO BE - HW'!$E$4)*SUM(POZICIE_INTERNE!$I$41:$I$52))/POZICIE_INTERNE!$B$41*12,IF((POZICIE_INTERNE!$B$41-12*('TCO TO BE- SW'!$D154-1))&lt;0,0,(POZICIE_INTERNE!$B$41-12*('TCO TO BE- SW'!$D154-1))*((I$4+'TCO TO BE - HW'!I$4)/($E$4+'TCO TO BE - HW'!$E$4)*SUM(POZICIE_INTERNE!$I$41:$I$52))/POZICIE_INTERNE!$B$41)),0)+IFERROR(IF((EXTERNE_POZICIE!$B$41-12*('TCO TO BE- SW'!$D154-1))&gt;12,((I$4+'TCO TO BE - HW'!I$4)/($E$4+'TCO TO BE - HW'!$E$4)*SUM(EXTERNE_POZICIE!$M$41:$M$52)*1.23)/EXTERNE_POZICIE!$B$41*12,IF((EXTERNE_POZICIE!$B$41-12*('TCO TO BE- SW'!$D154-1))&lt;0,0,(EXTERNE_POZICIE!$B$41-12*('TCO TO BE- SW'!$D154-1))*((I$4+'TCO TO BE - HW'!I$4)/($E$4+'TCO TO BE - HW'!$E$4)*SUM(EXTERNE_POZICIE!$M$41:$M$52)*1.23)/EXTERNE_POZICIE!$B$41)),0)+IFERROR(SUM(#REF!)*'TCO TO BE- SW'!I$4/'TCO TO BE- SW'!$E$4,0)</f>
        <v>0</v>
      </c>
      <c r="J154" s="574">
        <f>IFERROR(IF((POZICIE_INTERNE!$B$41-12*('TCO TO BE- SW'!$D154-1))&gt;12,((J$4+'TCO TO BE - HW'!J$4)/($E$4+'TCO TO BE - HW'!$E$4)*SUM(POZICIE_INTERNE!$I$41:$I$52))/POZICIE_INTERNE!$B$41*12,IF((POZICIE_INTERNE!$B$41-12*('TCO TO BE- SW'!$D154-1))&lt;0,0,(POZICIE_INTERNE!$B$41-12*('TCO TO BE- SW'!$D154-1))*((J$4+'TCO TO BE - HW'!J$4)/($E$4+'TCO TO BE - HW'!$E$4)*SUM(POZICIE_INTERNE!$I$41:$I$52))/POZICIE_INTERNE!$B$41)),0)+IFERROR(IF((EXTERNE_POZICIE!$B$41-12*('TCO TO BE- SW'!$D154-1))&gt;12,((J$4+'TCO TO BE - HW'!J$4)/($E$4+'TCO TO BE - HW'!$E$4)*SUM(EXTERNE_POZICIE!$M$41:$M$52)*1.23)/EXTERNE_POZICIE!$B$41*12,IF((EXTERNE_POZICIE!$B$41-12*('TCO TO BE- SW'!$D154-1))&lt;0,0,(EXTERNE_POZICIE!$B$41-12*('TCO TO BE- SW'!$D154-1))*((J$4+'TCO TO BE - HW'!J$4)/($E$4+'TCO TO BE - HW'!$E$4)*SUM(EXTERNE_POZICIE!$M$41:$M$52)*1.23)/EXTERNE_POZICIE!$B$41)),0)+IFERROR(SUM(#REF!)*'TCO TO BE- SW'!J$4/'TCO TO BE- SW'!$E$4,0)</f>
        <v>0</v>
      </c>
      <c r="K154" s="574">
        <f>IFERROR(IF((POZICIE_INTERNE!$B$41-12*('TCO TO BE- SW'!$D154-1))&gt;12,((K$4+'TCO TO BE - HW'!K$4)/($E$4+'TCO TO BE - HW'!$E$4)*SUM(POZICIE_INTERNE!$I$41:$I$52))/POZICIE_INTERNE!$B$41*12,IF((POZICIE_INTERNE!$B$41-12*('TCO TO BE- SW'!$D154-1))&lt;0,0,(POZICIE_INTERNE!$B$41-12*('TCO TO BE- SW'!$D154-1))*((K$4+'TCO TO BE - HW'!K$4)/($E$4+'TCO TO BE - HW'!$E$4)*SUM(POZICIE_INTERNE!$I$41:$I$52))/POZICIE_INTERNE!$B$41)),0)+IFERROR(IF((EXTERNE_POZICIE!$B$41-12*('TCO TO BE- SW'!$D154-1))&gt;12,((K$4+'TCO TO BE - HW'!K$4)/($E$4+'TCO TO BE - HW'!$E$4)*SUM(EXTERNE_POZICIE!$M$41:$M$52)*1.23)/EXTERNE_POZICIE!$B$41*12,IF((EXTERNE_POZICIE!$B$41-12*('TCO TO BE- SW'!$D154-1))&lt;0,0,(EXTERNE_POZICIE!$B$41-12*('TCO TO BE- SW'!$D154-1))*((K$4+'TCO TO BE - HW'!K$4)/($E$4+'TCO TO BE - HW'!$E$4)*SUM(EXTERNE_POZICIE!$M$41:$M$52)*1.23)/EXTERNE_POZICIE!$B$41)),0)+IFERROR(SUM(#REF!)*'TCO TO BE- SW'!K$4/'TCO TO BE- SW'!$E$4,0)</f>
        <v>0</v>
      </c>
      <c r="L154" s="574">
        <f>IFERROR(IF((POZICIE_INTERNE!$B$41-12*('TCO TO BE- SW'!$D154-1))&gt;12,((L$4+'TCO TO BE - HW'!L$4)/($E$4+'TCO TO BE - HW'!$E$4)*SUM(POZICIE_INTERNE!$I$41:$I$52))/POZICIE_INTERNE!$B$41*12,IF((POZICIE_INTERNE!$B$41-12*('TCO TO BE- SW'!$D154-1))&lt;0,0,(POZICIE_INTERNE!$B$41-12*('TCO TO BE- SW'!$D154-1))*((L$4+'TCO TO BE - HW'!L$4)/($E$4+'TCO TO BE - HW'!$E$4)*SUM(POZICIE_INTERNE!$I$41:$I$52))/POZICIE_INTERNE!$B$41)),0)+IFERROR(IF((EXTERNE_POZICIE!$B$41-12*('TCO TO BE- SW'!$D154-1))&gt;12,((L$4+'TCO TO BE - HW'!L$4)/($E$4+'TCO TO BE - HW'!$E$4)*SUM(EXTERNE_POZICIE!$M$41:$M$52)*1.23)/EXTERNE_POZICIE!$B$41*12,IF((EXTERNE_POZICIE!$B$41-12*('TCO TO BE- SW'!$D154-1))&lt;0,0,(EXTERNE_POZICIE!$B$41-12*('TCO TO BE- SW'!$D154-1))*((L$4+'TCO TO BE - HW'!L$4)/($E$4+'TCO TO BE - HW'!$E$4)*SUM(EXTERNE_POZICIE!$M$41:$M$52)*1.23)/EXTERNE_POZICIE!$B$41)),0)+IFERROR(SUM(#REF!)*'TCO TO BE- SW'!L$4/'TCO TO BE- SW'!$E$4,0)</f>
        <v>0</v>
      </c>
      <c r="M154" s="574">
        <f>IFERROR(IF((POZICIE_INTERNE!$B$41-12*('TCO TO BE- SW'!$D154-1))&gt;12,((M$4+'TCO TO BE - HW'!M$4)/($E$4+'TCO TO BE - HW'!$E$4)*SUM(POZICIE_INTERNE!$I$41:$I$52))/POZICIE_INTERNE!$B$41*12,IF((POZICIE_INTERNE!$B$41-12*('TCO TO BE- SW'!$D154-1))&lt;0,0,(POZICIE_INTERNE!$B$41-12*('TCO TO BE- SW'!$D154-1))*((M$4+'TCO TO BE - HW'!M$4)/($E$4+'TCO TO BE - HW'!$E$4)*SUM(POZICIE_INTERNE!$I$41:$I$52))/POZICIE_INTERNE!$B$41)),0)+IFERROR(IF((EXTERNE_POZICIE!$B$41-12*('TCO TO BE- SW'!$D154-1))&gt;12,((M$4+'TCO TO BE - HW'!M$4)/($E$4+'TCO TO BE - HW'!$E$4)*SUM(EXTERNE_POZICIE!$M$41:$M$52)*1.23)/EXTERNE_POZICIE!$B$41*12,IF((EXTERNE_POZICIE!$B$41-12*('TCO TO BE- SW'!$D154-1))&lt;0,0,(EXTERNE_POZICIE!$B$41-12*('TCO TO BE- SW'!$D154-1))*((M$4+'TCO TO BE - HW'!M$4)/($E$4+'TCO TO BE - HW'!$E$4)*SUM(EXTERNE_POZICIE!$M$41:$M$52)*1.23)/EXTERNE_POZICIE!$B$41)),0)+IFERROR(SUM(#REF!)*'TCO TO BE- SW'!M$4/'TCO TO BE- SW'!$E$4,0)</f>
        <v>0</v>
      </c>
      <c r="N154" s="574">
        <f>IFERROR(IF((POZICIE_INTERNE!$B$41-12*('TCO TO BE- SW'!$D154-1))&gt;12,((N$4+'TCO TO BE - HW'!N$4)/($E$4+'TCO TO BE - HW'!$E$4)*SUM(POZICIE_INTERNE!$I$41:$I$52))/POZICIE_INTERNE!$B$41*12,IF((POZICIE_INTERNE!$B$41-12*('TCO TO BE- SW'!$D154-1))&lt;0,0,(POZICIE_INTERNE!$B$41-12*('TCO TO BE- SW'!$D154-1))*((N$4+'TCO TO BE - HW'!N$4)/($E$4+'TCO TO BE - HW'!$E$4)*SUM(POZICIE_INTERNE!$I$41:$I$52))/POZICIE_INTERNE!$B$41)),0)+IFERROR(IF((EXTERNE_POZICIE!$B$41-12*('TCO TO BE- SW'!$D154-1))&gt;12,((N$4+'TCO TO BE - HW'!N$4)/($E$4+'TCO TO BE - HW'!$E$4)*SUM(EXTERNE_POZICIE!$M$41:$M$52)*1.23)/EXTERNE_POZICIE!$B$41*12,IF((EXTERNE_POZICIE!$B$41-12*('TCO TO BE- SW'!$D154-1))&lt;0,0,(EXTERNE_POZICIE!$B$41-12*('TCO TO BE- SW'!$D154-1))*((N$4+'TCO TO BE - HW'!N$4)/($E$4+'TCO TO BE - HW'!$E$4)*SUM(EXTERNE_POZICIE!$M$41:$M$52)*1.23)/EXTERNE_POZICIE!$B$41)),0)+IFERROR(SUM(#REF!)*'TCO TO BE- SW'!N$4/'TCO TO BE- SW'!$E$4,0)</f>
        <v>0</v>
      </c>
      <c r="O154" s="574">
        <f>IFERROR(IF((POZICIE_INTERNE!$B$41-12*('TCO TO BE- SW'!$D154-1))&gt;12,((O$4+'TCO TO BE - HW'!O$4)/($E$4+'TCO TO BE - HW'!$E$4)*SUM(POZICIE_INTERNE!$I$41:$I$52))/POZICIE_INTERNE!$B$41*12,IF((POZICIE_INTERNE!$B$41-12*('TCO TO BE- SW'!$D154-1))&lt;0,0,(POZICIE_INTERNE!$B$41-12*('TCO TO BE- SW'!$D154-1))*((O$4+'TCO TO BE - HW'!O$4)/($E$4+'TCO TO BE - HW'!$E$4)*SUM(POZICIE_INTERNE!$I$41:$I$52))/POZICIE_INTERNE!$B$41)),0)+IFERROR(IF((EXTERNE_POZICIE!$B$41-12*('TCO TO BE- SW'!$D154-1))&gt;12,((O$4+'TCO TO BE - HW'!O$4)/($E$4+'TCO TO BE - HW'!$E$4)*SUM(EXTERNE_POZICIE!$M$41:$M$52)*1.23)/EXTERNE_POZICIE!$B$41*12,IF((EXTERNE_POZICIE!$B$41-12*('TCO TO BE- SW'!$D154-1))&lt;0,0,(EXTERNE_POZICIE!$B$41-12*('TCO TO BE- SW'!$D154-1))*((O$4+'TCO TO BE - HW'!O$4)/($E$4+'TCO TO BE - HW'!$E$4)*SUM(EXTERNE_POZICIE!$M$41:$M$52)*1.23)/EXTERNE_POZICIE!$B$41)),0)+IFERROR(SUM(#REF!)*'TCO TO BE- SW'!O$4/'TCO TO BE- SW'!$E$4,0)</f>
        <v>0</v>
      </c>
      <c r="P154" s="574">
        <f>IFERROR(IF((POZICIE_INTERNE!$B$41-12*('TCO TO BE- SW'!$D154-1))&gt;12,((P$4+'TCO TO BE - HW'!P$4)/($E$4+'TCO TO BE - HW'!$E$4)*SUM(POZICIE_INTERNE!$I$41:$I$52))/POZICIE_INTERNE!$B$41*12,IF((POZICIE_INTERNE!$B$41-12*('TCO TO BE- SW'!$D154-1))&lt;0,0,(POZICIE_INTERNE!$B$41-12*('TCO TO BE- SW'!$D154-1))*((P$4+'TCO TO BE - HW'!P$4)/($E$4+'TCO TO BE - HW'!$E$4)*SUM(POZICIE_INTERNE!$I$41:$I$52))/POZICIE_INTERNE!$B$41)),0)+IFERROR(IF((EXTERNE_POZICIE!$B$41-12*('TCO TO BE- SW'!$D154-1))&gt;12,((P$4+'TCO TO BE - HW'!P$4)/($E$4+'TCO TO BE - HW'!$E$4)*SUM(EXTERNE_POZICIE!$M$41:$M$52)*1.23)/EXTERNE_POZICIE!$B$41*12,IF((EXTERNE_POZICIE!$B$41-12*('TCO TO BE- SW'!$D154-1))&lt;0,0,(EXTERNE_POZICIE!$B$41-12*('TCO TO BE- SW'!$D154-1))*((P$4+'TCO TO BE - HW'!P$4)/($E$4+'TCO TO BE - HW'!$E$4)*SUM(EXTERNE_POZICIE!$M$41:$M$52)*1.23)/EXTERNE_POZICIE!$B$41)),0)+IFERROR(SUM(#REF!)*'TCO TO BE- SW'!P$4/'TCO TO BE- SW'!$E$4,0)</f>
        <v>0</v>
      </c>
      <c r="Q154" s="574">
        <f>IFERROR(IF((POZICIE_INTERNE!$B$41-12*('TCO TO BE- SW'!$D154-1))&gt;12,((Q$4+'TCO TO BE - HW'!Q$4)/($E$4+'TCO TO BE - HW'!$E$4)*SUM(POZICIE_INTERNE!$I$41:$I$52))/POZICIE_INTERNE!$B$41*12,IF((POZICIE_INTERNE!$B$41-12*('TCO TO BE- SW'!$D154-1))&lt;0,0,(POZICIE_INTERNE!$B$41-12*('TCO TO BE- SW'!$D154-1))*((Q$4+'TCO TO BE - HW'!Q$4)/($E$4+'TCO TO BE - HW'!$E$4)*SUM(POZICIE_INTERNE!$I$41:$I$52))/POZICIE_INTERNE!$B$41)),0)+IFERROR(IF((EXTERNE_POZICIE!$B$41-12*('TCO TO BE- SW'!$D154-1))&gt;12,((Q$4+'TCO TO BE - HW'!Q$4)/($E$4+'TCO TO BE - HW'!$E$4)*SUM(EXTERNE_POZICIE!$M$41:$M$52)*1.23)/EXTERNE_POZICIE!$B$41*12,IF((EXTERNE_POZICIE!$B$41-12*('TCO TO BE- SW'!$D154-1))&lt;0,0,(EXTERNE_POZICIE!$B$41-12*('TCO TO BE- SW'!$D154-1))*((Q$4+'TCO TO BE - HW'!Q$4)/($E$4+'TCO TO BE - HW'!$E$4)*SUM(EXTERNE_POZICIE!$M$41:$M$52)*1.23)/EXTERNE_POZICIE!$B$41)),0)+IFERROR(SUM(#REF!)*'TCO TO BE- SW'!Q$4/'TCO TO BE- SW'!$E$4,0)</f>
        <v>0</v>
      </c>
      <c r="R154" s="574">
        <f>IFERROR(IF((POZICIE_INTERNE!$B$41-12*('TCO TO BE- SW'!$D154-1))&gt;12,((R$4+'TCO TO BE - HW'!R$4)/($E$4+'TCO TO BE - HW'!$E$4)*SUM(POZICIE_INTERNE!$I$41:$I$52))/POZICIE_INTERNE!$B$41*12,IF((POZICIE_INTERNE!$B$41-12*('TCO TO BE- SW'!$D154-1))&lt;0,0,(POZICIE_INTERNE!$B$41-12*('TCO TO BE- SW'!$D154-1))*((R$4+'TCO TO BE - HW'!R$4)/($E$4+'TCO TO BE - HW'!$E$4)*SUM(POZICIE_INTERNE!$I$41:$I$52))/POZICIE_INTERNE!$B$41)),0)+IFERROR(IF((EXTERNE_POZICIE!$B$41-12*('TCO TO BE- SW'!$D154-1))&gt;12,((R$4+'TCO TO BE - HW'!R$4)/($E$4+'TCO TO BE - HW'!$E$4)*SUM(EXTERNE_POZICIE!$M$41:$M$52)*1.23)/EXTERNE_POZICIE!$B$41*12,IF((EXTERNE_POZICIE!$B$41-12*('TCO TO BE- SW'!$D154-1))&lt;0,0,(EXTERNE_POZICIE!$B$41-12*('TCO TO BE- SW'!$D154-1))*((R$4+'TCO TO BE - HW'!R$4)/($E$4+'TCO TO BE - HW'!$E$4)*SUM(EXTERNE_POZICIE!$M$41:$M$52)*1.23)/EXTERNE_POZICIE!$B$41)),0)+IFERROR(SUM(#REF!)*'TCO TO BE- SW'!R$4/'TCO TO BE- SW'!$E$4,0)</f>
        <v>0</v>
      </c>
      <c r="S154" s="574">
        <f>IFERROR(IF((POZICIE_INTERNE!$B$41-12*('TCO TO BE- SW'!$D154-1))&gt;12,((S$4+'TCO TO BE - HW'!S$4)/($E$4+'TCO TO BE - HW'!$E$4)*SUM(POZICIE_INTERNE!$I$41:$I$52))/POZICIE_INTERNE!$B$41*12,IF((POZICIE_INTERNE!$B$41-12*('TCO TO BE- SW'!$D154-1))&lt;0,0,(POZICIE_INTERNE!$B$41-12*('TCO TO BE- SW'!$D154-1))*((S$4+'TCO TO BE - HW'!S$4)/($E$4+'TCO TO BE - HW'!$E$4)*SUM(POZICIE_INTERNE!$I$41:$I$52))/POZICIE_INTERNE!$B$41)),0)+IFERROR(IF((EXTERNE_POZICIE!$B$41-12*('TCO TO BE- SW'!$D154-1))&gt;12,((S$4+'TCO TO BE - HW'!S$4)/($E$4+'TCO TO BE - HW'!$E$4)*SUM(EXTERNE_POZICIE!$M$41:$M$52)*1.23)/EXTERNE_POZICIE!$B$41*12,IF((EXTERNE_POZICIE!$B$41-12*('TCO TO BE- SW'!$D154-1))&lt;0,0,(EXTERNE_POZICIE!$B$41-12*('TCO TO BE- SW'!$D154-1))*((S$4+'TCO TO BE - HW'!S$4)/($E$4+'TCO TO BE - HW'!$E$4)*SUM(EXTERNE_POZICIE!$M$41:$M$52)*1.23)/EXTERNE_POZICIE!$B$41)),0)+IFERROR(SUM(#REF!)*'TCO TO BE- SW'!S$4/'TCO TO BE- SW'!$E$4,0)</f>
        <v>0</v>
      </c>
      <c r="T154" s="574">
        <f>IFERROR(IF((POZICIE_INTERNE!$B$41-12*('TCO TO BE- SW'!$D154-1))&gt;12,((T$4+'TCO TO BE - HW'!T$4)/($E$4+'TCO TO BE - HW'!$E$4)*SUM(POZICIE_INTERNE!$I$41:$I$52))/POZICIE_INTERNE!$B$41*12,IF((POZICIE_INTERNE!$B$41-12*('TCO TO BE- SW'!$D154-1))&lt;0,0,(POZICIE_INTERNE!$B$41-12*('TCO TO BE- SW'!$D154-1))*((T$4+'TCO TO BE - HW'!T$4)/($E$4+'TCO TO BE - HW'!$E$4)*SUM(POZICIE_INTERNE!$I$41:$I$52))/POZICIE_INTERNE!$B$41)),0)+IFERROR(IF((EXTERNE_POZICIE!$B$41-12*('TCO TO BE- SW'!$D154-1))&gt;12,((T$4+'TCO TO BE - HW'!T$4)/($E$4+'TCO TO BE - HW'!$E$4)*SUM(EXTERNE_POZICIE!$M$41:$M$52)*1.23)/EXTERNE_POZICIE!$B$41*12,IF((EXTERNE_POZICIE!$B$41-12*('TCO TO BE- SW'!$D154-1))&lt;0,0,(EXTERNE_POZICIE!$B$41-12*('TCO TO BE- SW'!$D154-1))*((T$4+'TCO TO BE - HW'!T$4)/($E$4+'TCO TO BE - HW'!$E$4)*SUM(EXTERNE_POZICIE!$M$41:$M$52)*1.23)/EXTERNE_POZICIE!$B$41)),0)+IFERROR(SUM(#REF!)*'TCO TO BE- SW'!T$4/'TCO TO BE- SW'!$E$4,0)</f>
        <v>0</v>
      </c>
      <c r="U154" s="574">
        <f>IFERROR(IF((POZICIE_INTERNE!$B$41-12*('TCO TO BE- SW'!$D154-1))&gt;12,((U$4+'TCO TO BE - HW'!U$4)/($E$4+'TCO TO BE - HW'!$E$4)*SUM(POZICIE_INTERNE!$I$41:$I$52))/POZICIE_INTERNE!$B$41*12,IF((POZICIE_INTERNE!$B$41-12*('TCO TO BE- SW'!$D154-1))&lt;0,0,(POZICIE_INTERNE!$B$41-12*('TCO TO BE- SW'!$D154-1))*((U$4+'TCO TO BE - HW'!U$4)/($E$4+'TCO TO BE - HW'!$E$4)*SUM(POZICIE_INTERNE!$I$41:$I$52))/POZICIE_INTERNE!$B$41)),0)+IFERROR(IF((EXTERNE_POZICIE!$B$41-12*('TCO TO BE- SW'!$D154-1))&gt;12,((U$4+'TCO TO BE - HW'!U$4)/($E$4+'TCO TO BE - HW'!$E$4)*SUM(EXTERNE_POZICIE!$M$41:$M$52)*1.23)/EXTERNE_POZICIE!$B$41*12,IF((EXTERNE_POZICIE!$B$41-12*('TCO TO BE- SW'!$D154-1))&lt;0,0,(EXTERNE_POZICIE!$B$41-12*('TCO TO BE- SW'!$D154-1))*((U$4+'TCO TO BE - HW'!U$4)/($E$4+'TCO TO BE - HW'!$E$4)*SUM(EXTERNE_POZICIE!$M$41:$M$52)*1.23)/EXTERNE_POZICIE!$B$41)),0)+IFERROR(SUM(#REF!)*'TCO TO BE- SW'!U$4/'TCO TO BE- SW'!$E$4,0)</f>
        <v>0</v>
      </c>
      <c r="V154" s="574">
        <f>IFERROR(IF((POZICIE_INTERNE!$B$41-12*('TCO TO BE- SW'!$D154-1))&gt;12,((V$4+'TCO TO BE - HW'!V$4)/($E$4+'TCO TO BE - HW'!$E$4)*SUM(POZICIE_INTERNE!$I$41:$I$52))/POZICIE_INTERNE!$B$41*12,IF((POZICIE_INTERNE!$B$41-12*('TCO TO BE- SW'!$D154-1))&lt;0,0,(POZICIE_INTERNE!$B$41-12*('TCO TO BE- SW'!$D154-1))*((V$4+'TCO TO BE - HW'!V$4)/($E$4+'TCO TO BE - HW'!$E$4)*SUM(POZICIE_INTERNE!$I$41:$I$52))/POZICIE_INTERNE!$B$41)),0)+IFERROR(IF((EXTERNE_POZICIE!$B$41-12*('TCO TO BE- SW'!$D154-1))&gt;12,((V$4+'TCO TO BE - HW'!V$4)/($E$4+'TCO TO BE - HW'!$E$4)*SUM(EXTERNE_POZICIE!$M$41:$M$52)*1.23)/EXTERNE_POZICIE!$B$41*12,IF((EXTERNE_POZICIE!$B$41-12*('TCO TO BE- SW'!$D154-1))&lt;0,0,(EXTERNE_POZICIE!$B$41-12*('TCO TO BE- SW'!$D154-1))*((V$4+'TCO TO BE - HW'!V$4)/($E$4+'TCO TO BE - HW'!$E$4)*SUM(EXTERNE_POZICIE!$M$41:$M$52)*1.23)/EXTERNE_POZICIE!$B$41)),0)+IFERROR(SUM(#REF!)*'TCO TO BE- SW'!V$4/'TCO TO BE- SW'!$E$4,0)</f>
        <v>0</v>
      </c>
      <c r="W154" s="574">
        <f>IFERROR(IF((POZICIE_INTERNE!$B$41-12*('TCO TO BE- SW'!$D154-1))&gt;12,((W$4+'TCO TO BE - HW'!W$4)/($E$4+'TCO TO BE - HW'!$E$4)*SUM(POZICIE_INTERNE!$I$41:$I$52))/POZICIE_INTERNE!$B$41*12,IF((POZICIE_INTERNE!$B$41-12*('TCO TO BE- SW'!$D154-1))&lt;0,0,(POZICIE_INTERNE!$B$41-12*('TCO TO BE- SW'!$D154-1))*((W$4+'TCO TO BE - HW'!W$4)/($E$4+'TCO TO BE - HW'!$E$4)*SUM(POZICIE_INTERNE!$I$41:$I$52))/POZICIE_INTERNE!$B$41)),0)+IFERROR(IF((EXTERNE_POZICIE!$B$41-12*('TCO TO BE- SW'!$D154-1))&gt;12,((W$4+'TCO TO BE - HW'!W$4)/($E$4+'TCO TO BE - HW'!$E$4)*SUM(EXTERNE_POZICIE!$M$41:$M$52)*1.23)/EXTERNE_POZICIE!$B$41*12,IF((EXTERNE_POZICIE!$B$41-12*('TCO TO BE- SW'!$D154-1))&lt;0,0,(EXTERNE_POZICIE!$B$41-12*('TCO TO BE- SW'!$D154-1))*((W$4+'TCO TO BE - HW'!W$4)/($E$4+'TCO TO BE - HW'!$E$4)*SUM(EXTERNE_POZICIE!$M$41:$M$52)*1.23)/EXTERNE_POZICIE!$B$41)),0)+IFERROR(SUM(#REF!)*'TCO TO BE- SW'!W$4/'TCO TO BE- SW'!$E$4,0)</f>
        <v>0</v>
      </c>
      <c r="X154" s="574">
        <f>IFERROR(IF((POZICIE_INTERNE!$B$41-12*('TCO TO BE- SW'!$D154-1))&gt;12,((X$4+'TCO TO BE - HW'!X$4)/($E$4+'TCO TO BE - HW'!$E$4)*SUM(POZICIE_INTERNE!$I$41:$I$52))/POZICIE_INTERNE!$B$41*12,IF((POZICIE_INTERNE!$B$41-12*('TCO TO BE- SW'!$D154-1))&lt;0,0,(POZICIE_INTERNE!$B$41-12*('TCO TO BE- SW'!$D154-1))*((X$4+'TCO TO BE - HW'!X$4)/($E$4+'TCO TO BE - HW'!$E$4)*SUM(POZICIE_INTERNE!$I$41:$I$52))/POZICIE_INTERNE!$B$41)),0)+IFERROR(IF((EXTERNE_POZICIE!$B$41-12*('TCO TO BE- SW'!$D154-1))&gt;12,((X$4+'TCO TO BE - HW'!X$4)/($E$4+'TCO TO BE - HW'!$E$4)*SUM(EXTERNE_POZICIE!$M$41:$M$52)*1.23)/EXTERNE_POZICIE!$B$41*12,IF((EXTERNE_POZICIE!$B$41-12*('TCO TO BE- SW'!$D154-1))&lt;0,0,(EXTERNE_POZICIE!$B$41-12*('TCO TO BE- SW'!$D154-1))*((X$4+'TCO TO BE - HW'!X$4)/($E$4+'TCO TO BE - HW'!$E$4)*SUM(EXTERNE_POZICIE!$M$41:$M$52)*1.23)/EXTERNE_POZICIE!$B$41)),0)+IFERROR(SUM(#REF!)*'TCO TO BE- SW'!X$4/'TCO TO BE- SW'!$E$4,0)</f>
        <v>0</v>
      </c>
      <c r="Y154" s="574">
        <f>IFERROR(IF((POZICIE_INTERNE!$B$41-12*('TCO TO BE- SW'!$D154-1))&gt;12,((Y$4+'TCO TO BE - HW'!Y$4)/($E$4+'TCO TO BE - HW'!$E$4)*SUM(POZICIE_INTERNE!$I$41:$I$52))/POZICIE_INTERNE!$B$41*12,IF((POZICIE_INTERNE!$B$41-12*('TCO TO BE- SW'!$D154-1))&lt;0,0,(POZICIE_INTERNE!$B$41-12*('TCO TO BE- SW'!$D154-1))*((Y$4+'TCO TO BE - HW'!Y$4)/($E$4+'TCO TO BE - HW'!$E$4)*SUM(POZICIE_INTERNE!$I$41:$I$52))/POZICIE_INTERNE!$B$41)),0)+IFERROR(IF((EXTERNE_POZICIE!$B$41-12*('TCO TO BE- SW'!$D154-1))&gt;12,((Y$4+'TCO TO BE - HW'!Y$4)/($E$4+'TCO TO BE - HW'!$E$4)*SUM(EXTERNE_POZICIE!$M$41:$M$52)*1.23)/EXTERNE_POZICIE!$B$41*12,IF((EXTERNE_POZICIE!$B$41-12*('TCO TO BE- SW'!$D154-1))&lt;0,0,(EXTERNE_POZICIE!$B$41-12*('TCO TO BE- SW'!$D154-1))*((Y$4+'TCO TO BE - HW'!Y$4)/($E$4+'TCO TO BE - HW'!$E$4)*SUM(EXTERNE_POZICIE!$M$41:$M$52)*1.23)/EXTERNE_POZICIE!$B$41)),0)+IFERROR(SUM(#REF!)*'TCO TO BE- SW'!Y$4/'TCO TO BE- SW'!$E$4,0)</f>
        <v>0</v>
      </c>
      <c r="Z154" s="574">
        <f>IFERROR(IF((POZICIE_INTERNE!$B$41-12*('TCO TO BE- SW'!$D154-1))&gt;12,((Z$4+'TCO TO BE - HW'!Z$4)/($E$4+'TCO TO BE - HW'!$E$4)*SUM(POZICIE_INTERNE!$I$41:$I$52))/POZICIE_INTERNE!$B$41*12,IF((POZICIE_INTERNE!$B$41-12*('TCO TO BE- SW'!$D154-1))&lt;0,0,(POZICIE_INTERNE!$B$41-12*('TCO TO BE- SW'!$D154-1))*((Z$4+'TCO TO BE - HW'!Z$4)/($E$4+'TCO TO BE - HW'!$E$4)*SUM(POZICIE_INTERNE!$I$41:$I$52))/POZICIE_INTERNE!$B$41)),0)+IFERROR(IF((EXTERNE_POZICIE!$B$41-12*('TCO TO BE- SW'!$D154-1))&gt;12,((Z$4+'TCO TO BE - HW'!Z$4)/($E$4+'TCO TO BE - HW'!$E$4)*SUM(EXTERNE_POZICIE!$M$41:$M$52)*1.23)/EXTERNE_POZICIE!$B$41*12,IF((EXTERNE_POZICIE!$B$41-12*('TCO TO BE- SW'!$D154-1))&lt;0,0,(EXTERNE_POZICIE!$B$41-12*('TCO TO BE- SW'!$D154-1))*((Z$4+'TCO TO BE - HW'!Z$4)/($E$4+'TCO TO BE - HW'!$E$4)*SUM(EXTERNE_POZICIE!$M$41:$M$52)*1.23)/EXTERNE_POZICIE!$B$41)),0)+IFERROR(SUM(#REF!)*'TCO TO BE- SW'!Z$4/'TCO TO BE- SW'!$E$4,0)</f>
        <v>0</v>
      </c>
    </row>
    <row r="155" spans="1:26">
      <c r="A155" s="817"/>
      <c r="B155" s="818"/>
      <c r="C155" s="818"/>
      <c r="D155" s="64">
        <v>5</v>
      </c>
      <c r="E155" s="68">
        <f t="shared" si="16"/>
        <v>0</v>
      </c>
      <c r="F155" s="574">
        <f>IFERROR(IF((POZICIE_INTERNE!$B$41-12*('TCO TO BE- SW'!$D155-1))&gt;12,((F$4+'TCO TO BE - HW'!F$4)/($E$4+'TCO TO BE - HW'!$E$4)*SUM(POZICIE_INTERNE!$I$41:$I$52))/POZICIE_INTERNE!$B$41*12,IF((POZICIE_INTERNE!$B$41-12*('TCO TO BE- SW'!$D155-1))&lt;0,0,(POZICIE_INTERNE!$B$41-12*('TCO TO BE- SW'!$D155-1))*((F$4+'TCO TO BE - HW'!F$4)/($E$4+'TCO TO BE - HW'!$E$4)*SUM(POZICIE_INTERNE!$I$41:$I$52))/POZICIE_INTERNE!$B$41)),0)+IFERROR(IF((EXTERNE_POZICIE!$B$41-12*('TCO TO BE- SW'!$D155-1))&gt;12,((F$4+'TCO TO BE - HW'!F$4)/($E$4+'TCO TO BE - HW'!$E$4)*SUM(EXTERNE_POZICIE!$M$41:$M$52)*1.23)/EXTERNE_POZICIE!$B$41*12,IF((EXTERNE_POZICIE!$B$41-12*('TCO TO BE- SW'!$D155-1))&lt;0,0,(EXTERNE_POZICIE!$B$41-12*('TCO TO BE- SW'!$D155-1))*((F$4+'TCO TO BE - HW'!F$4)/($E$4+'TCO TO BE - HW'!$E$4)*SUM(EXTERNE_POZICIE!$M$41:$M$52)*1.23)/EXTERNE_POZICIE!$B$41)),0)+IFERROR(SUM(#REF!)*'TCO TO BE- SW'!F$4/'TCO TO BE- SW'!$E$4,0)</f>
        <v>0</v>
      </c>
      <c r="G155" s="574">
        <f>IFERROR(IF((POZICIE_INTERNE!$B$41-12*('TCO TO BE- SW'!$D155-1))&gt;12,((G$4+'TCO TO BE - HW'!G$4)/($E$4+'TCO TO BE - HW'!$E$4)*SUM(POZICIE_INTERNE!$I$41:$I$52))/POZICIE_INTERNE!$B$41*12,IF((POZICIE_INTERNE!$B$41-12*('TCO TO BE- SW'!$D155-1))&lt;0,0,(POZICIE_INTERNE!$B$41-12*('TCO TO BE- SW'!$D155-1))*((G$4+'TCO TO BE - HW'!G$4)/($E$4+'TCO TO BE - HW'!$E$4)*SUM(POZICIE_INTERNE!$I$41:$I$52))/POZICIE_INTERNE!$B$41)),0)+IFERROR(IF((EXTERNE_POZICIE!$B$41-12*('TCO TO BE- SW'!$D155-1))&gt;12,((G$4+'TCO TO BE - HW'!G$4)/($E$4+'TCO TO BE - HW'!$E$4)*SUM(EXTERNE_POZICIE!$M$41:$M$52)*1.23)/EXTERNE_POZICIE!$B$41*12,IF((EXTERNE_POZICIE!$B$41-12*('TCO TO BE- SW'!$D155-1))&lt;0,0,(EXTERNE_POZICIE!$B$41-12*('TCO TO BE- SW'!$D155-1))*((G$4+'TCO TO BE - HW'!G$4)/($E$4+'TCO TO BE - HW'!$E$4)*SUM(EXTERNE_POZICIE!$M$41:$M$52)*1.23)/EXTERNE_POZICIE!$B$41)),0)+IFERROR(SUM(#REF!)*'TCO TO BE- SW'!G$4/'TCO TO BE- SW'!$E$4,0)</f>
        <v>0</v>
      </c>
      <c r="H155" s="574">
        <f>IFERROR(IF((POZICIE_INTERNE!$B$41-12*('TCO TO BE- SW'!$D155-1))&gt;12,((H$4+'TCO TO BE - HW'!H$4)/($E$4+'TCO TO BE - HW'!$E$4)*SUM(POZICIE_INTERNE!$I$41:$I$52))/POZICIE_INTERNE!$B$41*12,IF((POZICIE_INTERNE!$B$41-12*('TCO TO BE- SW'!$D155-1))&lt;0,0,(POZICIE_INTERNE!$B$41-12*('TCO TO BE- SW'!$D155-1))*((H$4+'TCO TO BE - HW'!H$4)/($E$4+'TCO TO BE - HW'!$E$4)*SUM(POZICIE_INTERNE!$I$41:$I$52))/POZICIE_INTERNE!$B$41)),0)+IFERROR(IF((EXTERNE_POZICIE!$B$41-12*('TCO TO BE- SW'!$D155-1))&gt;12,((H$4+'TCO TO BE - HW'!H$4)/($E$4+'TCO TO BE - HW'!$E$4)*SUM(EXTERNE_POZICIE!$M$41:$M$52)*1.23)/EXTERNE_POZICIE!$B$41*12,IF((EXTERNE_POZICIE!$B$41-12*('TCO TO BE- SW'!$D155-1))&lt;0,0,(EXTERNE_POZICIE!$B$41-12*('TCO TO BE- SW'!$D155-1))*((H$4+'TCO TO BE - HW'!H$4)/($E$4+'TCO TO BE - HW'!$E$4)*SUM(EXTERNE_POZICIE!$M$41:$M$52)*1.23)/EXTERNE_POZICIE!$B$41)),0)+IFERROR(SUM(#REF!)*'TCO TO BE- SW'!H$4/'TCO TO BE- SW'!$E$4,0)</f>
        <v>0</v>
      </c>
      <c r="I155" s="574">
        <f>IFERROR(IF((POZICIE_INTERNE!$B$41-12*('TCO TO BE- SW'!$D155-1))&gt;12,((I$4+'TCO TO BE - HW'!I$4)/($E$4+'TCO TO BE - HW'!$E$4)*SUM(POZICIE_INTERNE!$I$41:$I$52))/POZICIE_INTERNE!$B$41*12,IF((POZICIE_INTERNE!$B$41-12*('TCO TO BE- SW'!$D155-1))&lt;0,0,(POZICIE_INTERNE!$B$41-12*('TCO TO BE- SW'!$D155-1))*((I$4+'TCO TO BE - HW'!I$4)/($E$4+'TCO TO BE - HW'!$E$4)*SUM(POZICIE_INTERNE!$I$41:$I$52))/POZICIE_INTERNE!$B$41)),0)+IFERROR(IF((EXTERNE_POZICIE!$B$41-12*('TCO TO BE- SW'!$D155-1))&gt;12,((I$4+'TCO TO BE - HW'!I$4)/($E$4+'TCO TO BE - HW'!$E$4)*SUM(EXTERNE_POZICIE!$M$41:$M$52)*1.23)/EXTERNE_POZICIE!$B$41*12,IF((EXTERNE_POZICIE!$B$41-12*('TCO TO BE- SW'!$D155-1))&lt;0,0,(EXTERNE_POZICIE!$B$41-12*('TCO TO BE- SW'!$D155-1))*((I$4+'TCO TO BE - HW'!I$4)/($E$4+'TCO TO BE - HW'!$E$4)*SUM(EXTERNE_POZICIE!$M$41:$M$52)*1.23)/EXTERNE_POZICIE!$B$41)),0)+IFERROR(SUM(#REF!)*'TCO TO BE- SW'!I$4/'TCO TO BE- SW'!$E$4,0)</f>
        <v>0</v>
      </c>
      <c r="J155" s="574">
        <f>IFERROR(IF((POZICIE_INTERNE!$B$41-12*('TCO TO BE- SW'!$D155-1))&gt;12,((J$4+'TCO TO BE - HW'!J$4)/($E$4+'TCO TO BE - HW'!$E$4)*SUM(POZICIE_INTERNE!$I$41:$I$52))/POZICIE_INTERNE!$B$41*12,IF((POZICIE_INTERNE!$B$41-12*('TCO TO BE- SW'!$D155-1))&lt;0,0,(POZICIE_INTERNE!$B$41-12*('TCO TO BE- SW'!$D155-1))*((J$4+'TCO TO BE - HW'!J$4)/($E$4+'TCO TO BE - HW'!$E$4)*SUM(POZICIE_INTERNE!$I$41:$I$52))/POZICIE_INTERNE!$B$41)),0)+IFERROR(IF((EXTERNE_POZICIE!$B$41-12*('TCO TO BE- SW'!$D155-1))&gt;12,((J$4+'TCO TO BE - HW'!J$4)/($E$4+'TCO TO BE - HW'!$E$4)*SUM(EXTERNE_POZICIE!$M$41:$M$52)*1.23)/EXTERNE_POZICIE!$B$41*12,IF((EXTERNE_POZICIE!$B$41-12*('TCO TO BE- SW'!$D155-1))&lt;0,0,(EXTERNE_POZICIE!$B$41-12*('TCO TO BE- SW'!$D155-1))*((J$4+'TCO TO BE - HW'!J$4)/($E$4+'TCO TO BE - HW'!$E$4)*SUM(EXTERNE_POZICIE!$M$41:$M$52)*1.23)/EXTERNE_POZICIE!$B$41)),0)+IFERROR(SUM(#REF!)*'TCO TO BE- SW'!J$4/'TCO TO BE- SW'!$E$4,0)</f>
        <v>0</v>
      </c>
      <c r="K155" s="574">
        <f>IFERROR(IF((POZICIE_INTERNE!$B$41-12*('TCO TO BE- SW'!$D155-1))&gt;12,((K$4+'TCO TO BE - HW'!K$4)/($E$4+'TCO TO BE - HW'!$E$4)*SUM(POZICIE_INTERNE!$I$41:$I$52))/POZICIE_INTERNE!$B$41*12,IF((POZICIE_INTERNE!$B$41-12*('TCO TO BE- SW'!$D155-1))&lt;0,0,(POZICIE_INTERNE!$B$41-12*('TCO TO BE- SW'!$D155-1))*((K$4+'TCO TO BE - HW'!K$4)/($E$4+'TCO TO BE - HW'!$E$4)*SUM(POZICIE_INTERNE!$I$41:$I$52))/POZICIE_INTERNE!$B$41)),0)+IFERROR(IF((EXTERNE_POZICIE!$B$41-12*('TCO TO BE- SW'!$D155-1))&gt;12,((K$4+'TCO TO BE - HW'!K$4)/($E$4+'TCO TO BE - HW'!$E$4)*SUM(EXTERNE_POZICIE!$M$41:$M$52)*1.23)/EXTERNE_POZICIE!$B$41*12,IF((EXTERNE_POZICIE!$B$41-12*('TCO TO BE- SW'!$D155-1))&lt;0,0,(EXTERNE_POZICIE!$B$41-12*('TCO TO BE- SW'!$D155-1))*((K$4+'TCO TO BE - HW'!K$4)/($E$4+'TCO TO BE - HW'!$E$4)*SUM(EXTERNE_POZICIE!$M$41:$M$52)*1.23)/EXTERNE_POZICIE!$B$41)),0)+IFERROR(SUM(#REF!)*'TCO TO BE- SW'!K$4/'TCO TO BE- SW'!$E$4,0)</f>
        <v>0</v>
      </c>
      <c r="L155" s="574">
        <f>IFERROR(IF((POZICIE_INTERNE!$B$41-12*('TCO TO BE- SW'!$D155-1))&gt;12,((L$4+'TCO TO BE - HW'!L$4)/($E$4+'TCO TO BE - HW'!$E$4)*SUM(POZICIE_INTERNE!$I$41:$I$52))/POZICIE_INTERNE!$B$41*12,IF((POZICIE_INTERNE!$B$41-12*('TCO TO BE- SW'!$D155-1))&lt;0,0,(POZICIE_INTERNE!$B$41-12*('TCO TO BE- SW'!$D155-1))*((L$4+'TCO TO BE - HW'!L$4)/($E$4+'TCO TO BE - HW'!$E$4)*SUM(POZICIE_INTERNE!$I$41:$I$52))/POZICIE_INTERNE!$B$41)),0)+IFERROR(IF((EXTERNE_POZICIE!$B$41-12*('TCO TO BE- SW'!$D155-1))&gt;12,((L$4+'TCO TO BE - HW'!L$4)/($E$4+'TCO TO BE - HW'!$E$4)*SUM(EXTERNE_POZICIE!$M$41:$M$52)*1.23)/EXTERNE_POZICIE!$B$41*12,IF((EXTERNE_POZICIE!$B$41-12*('TCO TO BE- SW'!$D155-1))&lt;0,0,(EXTERNE_POZICIE!$B$41-12*('TCO TO BE- SW'!$D155-1))*((L$4+'TCO TO BE - HW'!L$4)/($E$4+'TCO TO BE - HW'!$E$4)*SUM(EXTERNE_POZICIE!$M$41:$M$52)*1.23)/EXTERNE_POZICIE!$B$41)),0)+IFERROR(SUM(#REF!)*'TCO TO BE- SW'!L$4/'TCO TO BE- SW'!$E$4,0)</f>
        <v>0</v>
      </c>
      <c r="M155" s="574">
        <f>IFERROR(IF((POZICIE_INTERNE!$B$41-12*('TCO TO BE- SW'!$D155-1))&gt;12,((M$4+'TCO TO BE - HW'!M$4)/($E$4+'TCO TO BE - HW'!$E$4)*SUM(POZICIE_INTERNE!$I$41:$I$52))/POZICIE_INTERNE!$B$41*12,IF((POZICIE_INTERNE!$B$41-12*('TCO TO BE- SW'!$D155-1))&lt;0,0,(POZICIE_INTERNE!$B$41-12*('TCO TO BE- SW'!$D155-1))*((M$4+'TCO TO BE - HW'!M$4)/($E$4+'TCO TO BE - HW'!$E$4)*SUM(POZICIE_INTERNE!$I$41:$I$52))/POZICIE_INTERNE!$B$41)),0)+IFERROR(IF((EXTERNE_POZICIE!$B$41-12*('TCO TO BE- SW'!$D155-1))&gt;12,((M$4+'TCO TO BE - HW'!M$4)/($E$4+'TCO TO BE - HW'!$E$4)*SUM(EXTERNE_POZICIE!$M$41:$M$52)*1.23)/EXTERNE_POZICIE!$B$41*12,IF((EXTERNE_POZICIE!$B$41-12*('TCO TO BE- SW'!$D155-1))&lt;0,0,(EXTERNE_POZICIE!$B$41-12*('TCO TO BE- SW'!$D155-1))*((M$4+'TCO TO BE - HW'!M$4)/($E$4+'TCO TO BE - HW'!$E$4)*SUM(EXTERNE_POZICIE!$M$41:$M$52)*1.23)/EXTERNE_POZICIE!$B$41)),0)+IFERROR(SUM(#REF!)*'TCO TO BE- SW'!M$4/'TCO TO BE- SW'!$E$4,0)</f>
        <v>0</v>
      </c>
      <c r="N155" s="574">
        <f>IFERROR(IF((POZICIE_INTERNE!$B$41-12*('TCO TO BE- SW'!$D155-1))&gt;12,((N$4+'TCO TO BE - HW'!N$4)/($E$4+'TCO TO BE - HW'!$E$4)*SUM(POZICIE_INTERNE!$I$41:$I$52))/POZICIE_INTERNE!$B$41*12,IF((POZICIE_INTERNE!$B$41-12*('TCO TO BE- SW'!$D155-1))&lt;0,0,(POZICIE_INTERNE!$B$41-12*('TCO TO BE- SW'!$D155-1))*((N$4+'TCO TO BE - HW'!N$4)/($E$4+'TCO TO BE - HW'!$E$4)*SUM(POZICIE_INTERNE!$I$41:$I$52))/POZICIE_INTERNE!$B$41)),0)+IFERROR(IF((EXTERNE_POZICIE!$B$41-12*('TCO TO BE- SW'!$D155-1))&gt;12,((N$4+'TCO TO BE - HW'!N$4)/($E$4+'TCO TO BE - HW'!$E$4)*SUM(EXTERNE_POZICIE!$M$41:$M$52)*1.23)/EXTERNE_POZICIE!$B$41*12,IF((EXTERNE_POZICIE!$B$41-12*('TCO TO BE- SW'!$D155-1))&lt;0,0,(EXTERNE_POZICIE!$B$41-12*('TCO TO BE- SW'!$D155-1))*((N$4+'TCO TO BE - HW'!N$4)/($E$4+'TCO TO BE - HW'!$E$4)*SUM(EXTERNE_POZICIE!$M$41:$M$52)*1.23)/EXTERNE_POZICIE!$B$41)),0)+IFERROR(SUM(#REF!)*'TCO TO BE- SW'!N$4/'TCO TO BE- SW'!$E$4,0)</f>
        <v>0</v>
      </c>
      <c r="O155" s="574">
        <f>IFERROR(IF((POZICIE_INTERNE!$B$41-12*('TCO TO BE- SW'!$D155-1))&gt;12,((O$4+'TCO TO BE - HW'!O$4)/($E$4+'TCO TO BE - HW'!$E$4)*SUM(POZICIE_INTERNE!$I$41:$I$52))/POZICIE_INTERNE!$B$41*12,IF((POZICIE_INTERNE!$B$41-12*('TCO TO BE- SW'!$D155-1))&lt;0,0,(POZICIE_INTERNE!$B$41-12*('TCO TO BE- SW'!$D155-1))*((O$4+'TCO TO BE - HW'!O$4)/($E$4+'TCO TO BE - HW'!$E$4)*SUM(POZICIE_INTERNE!$I$41:$I$52))/POZICIE_INTERNE!$B$41)),0)+IFERROR(IF((EXTERNE_POZICIE!$B$41-12*('TCO TO BE- SW'!$D155-1))&gt;12,((O$4+'TCO TO BE - HW'!O$4)/($E$4+'TCO TO BE - HW'!$E$4)*SUM(EXTERNE_POZICIE!$M$41:$M$52)*1.23)/EXTERNE_POZICIE!$B$41*12,IF((EXTERNE_POZICIE!$B$41-12*('TCO TO BE- SW'!$D155-1))&lt;0,0,(EXTERNE_POZICIE!$B$41-12*('TCO TO BE- SW'!$D155-1))*((O$4+'TCO TO BE - HW'!O$4)/($E$4+'TCO TO BE - HW'!$E$4)*SUM(EXTERNE_POZICIE!$M$41:$M$52)*1.23)/EXTERNE_POZICIE!$B$41)),0)+IFERROR(SUM(#REF!)*'TCO TO BE- SW'!O$4/'TCO TO BE- SW'!$E$4,0)</f>
        <v>0</v>
      </c>
      <c r="P155" s="574">
        <f>IFERROR(IF((POZICIE_INTERNE!$B$41-12*('TCO TO BE- SW'!$D155-1))&gt;12,((P$4+'TCO TO BE - HW'!P$4)/($E$4+'TCO TO BE - HW'!$E$4)*SUM(POZICIE_INTERNE!$I$41:$I$52))/POZICIE_INTERNE!$B$41*12,IF((POZICIE_INTERNE!$B$41-12*('TCO TO BE- SW'!$D155-1))&lt;0,0,(POZICIE_INTERNE!$B$41-12*('TCO TO BE- SW'!$D155-1))*((P$4+'TCO TO BE - HW'!P$4)/($E$4+'TCO TO BE - HW'!$E$4)*SUM(POZICIE_INTERNE!$I$41:$I$52))/POZICIE_INTERNE!$B$41)),0)+IFERROR(IF((EXTERNE_POZICIE!$B$41-12*('TCO TO BE- SW'!$D155-1))&gt;12,((P$4+'TCO TO BE - HW'!P$4)/($E$4+'TCO TO BE - HW'!$E$4)*SUM(EXTERNE_POZICIE!$M$41:$M$52)*1.23)/EXTERNE_POZICIE!$B$41*12,IF((EXTERNE_POZICIE!$B$41-12*('TCO TO BE- SW'!$D155-1))&lt;0,0,(EXTERNE_POZICIE!$B$41-12*('TCO TO BE- SW'!$D155-1))*((P$4+'TCO TO BE - HW'!P$4)/($E$4+'TCO TO BE - HW'!$E$4)*SUM(EXTERNE_POZICIE!$M$41:$M$52)*1.23)/EXTERNE_POZICIE!$B$41)),0)+IFERROR(SUM(#REF!)*'TCO TO BE- SW'!P$4/'TCO TO BE- SW'!$E$4,0)</f>
        <v>0</v>
      </c>
      <c r="Q155" s="574">
        <f>IFERROR(IF((POZICIE_INTERNE!$B$41-12*('TCO TO BE- SW'!$D155-1))&gt;12,((Q$4+'TCO TO BE - HW'!Q$4)/($E$4+'TCO TO BE - HW'!$E$4)*SUM(POZICIE_INTERNE!$I$41:$I$52))/POZICIE_INTERNE!$B$41*12,IF((POZICIE_INTERNE!$B$41-12*('TCO TO BE- SW'!$D155-1))&lt;0,0,(POZICIE_INTERNE!$B$41-12*('TCO TO BE- SW'!$D155-1))*((Q$4+'TCO TO BE - HW'!Q$4)/($E$4+'TCO TO BE - HW'!$E$4)*SUM(POZICIE_INTERNE!$I$41:$I$52))/POZICIE_INTERNE!$B$41)),0)+IFERROR(IF((EXTERNE_POZICIE!$B$41-12*('TCO TO BE- SW'!$D155-1))&gt;12,((Q$4+'TCO TO BE - HW'!Q$4)/($E$4+'TCO TO BE - HW'!$E$4)*SUM(EXTERNE_POZICIE!$M$41:$M$52)*1.23)/EXTERNE_POZICIE!$B$41*12,IF((EXTERNE_POZICIE!$B$41-12*('TCO TO BE- SW'!$D155-1))&lt;0,0,(EXTERNE_POZICIE!$B$41-12*('TCO TO BE- SW'!$D155-1))*((Q$4+'TCO TO BE - HW'!Q$4)/($E$4+'TCO TO BE - HW'!$E$4)*SUM(EXTERNE_POZICIE!$M$41:$M$52)*1.23)/EXTERNE_POZICIE!$B$41)),0)+IFERROR(SUM(#REF!)*'TCO TO BE- SW'!Q$4/'TCO TO BE- SW'!$E$4,0)</f>
        <v>0</v>
      </c>
      <c r="R155" s="574">
        <f>IFERROR(IF((POZICIE_INTERNE!$B$41-12*('TCO TO BE- SW'!$D155-1))&gt;12,((R$4+'TCO TO BE - HW'!R$4)/($E$4+'TCO TO BE - HW'!$E$4)*SUM(POZICIE_INTERNE!$I$41:$I$52))/POZICIE_INTERNE!$B$41*12,IF((POZICIE_INTERNE!$B$41-12*('TCO TO BE- SW'!$D155-1))&lt;0,0,(POZICIE_INTERNE!$B$41-12*('TCO TO BE- SW'!$D155-1))*((R$4+'TCO TO BE - HW'!R$4)/($E$4+'TCO TO BE - HW'!$E$4)*SUM(POZICIE_INTERNE!$I$41:$I$52))/POZICIE_INTERNE!$B$41)),0)+IFERROR(IF((EXTERNE_POZICIE!$B$41-12*('TCO TO BE- SW'!$D155-1))&gt;12,((R$4+'TCO TO BE - HW'!R$4)/($E$4+'TCO TO BE - HW'!$E$4)*SUM(EXTERNE_POZICIE!$M$41:$M$52)*1.23)/EXTERNE_POZICIE!$B$41*12,IF((EXTERNE_POZICIE!$B$41-12*('TCO TO BE- SW'!$D155-1))&lt;0,0,(EXTERNE_POZICIE!$B$41-12*('TCO TO BE- SW'!$D155-1))*((R$4+'TCO TO BE - HW'!R$4)/($E$4+'TCO TO BE - HW'!$E$4)*SUM(EXTERNE_POZICIE!$M$41:$M$52)*1.23)/EXTERNE_POZICIE!$B$41)),0)+IFERROR(SUM(#REF!)*'TCO TO BE- SW'!R$4/'TCO TO BE- SW'!$E$4,0)</f>
        <v>0</v>
      </c>
      <c r="S155" s="574">
        <f>IFERROR(IF((POZICIE_INTERNE!$B$41-12*('TCO TO BE- SW'!$D155-1))&gt;12,((S$4+'TCO TO BE - HW'!S$4)/($E$4+'TCO TO BE - HW'!$E$4)*SUM(POZICIE_INTERNE!$I$41:$I$52))/POZICIE_INTERNE!$B$41*12,IF((POZICIE_INTERNE!$B$41-12*('TCO TO BE- SW'!$D155-1))&lt;0,0,(POZICIE_INTERNE!$B$41-12*('TCO TO BE- SW'!$D155-1))*((S$4+'TCO TO BE - HW'!S$4)/($E$4+'TCO TO BE - HW'!$E$4)*SUM(POZICIE_INTERNE!$I$41:$I$52))/POZICIE_INTERNE!$B$41)),0)+IFERROR(IF((EXTERNE_POZICIE!$B$41-12*('TCO TO BE- SW'!$D155-1))&gt;12,((S$4+'TCO TO BE - HW'!S$4)/($E$4+'TCO TO BE - HW'!$E$4)*SUM(EXTERNE_POZICIE!$M$41:$M$52)*1.23)/EXTERNE_POZICIE!$B$41*12,IF((EXTERNE_POZICIE!$B$41-12*('TCO TO BE- SW'!$D155-1))&lt;0,0,(EXTERNE_POZICIE!$B$41-12*('TCO TO BE- SW'!$D155-1))*((S$4+'TCO TO BE - HW'!S$4)/($E$4+'TCO TO BE - HW'!$E$4)*SUM(EXTERNE_POZICIE!$M$41:$M$52)*1.23)/EXTERNE_POZICIE!$B$41)),0)+IFERROR(SUM(#REF!)*'TCO TO BE- SW'!S$4/'TCO TO BE- SW'!$E$4,0)</f>
        <v>0</v>
      </c>
      <c r="T155" s="574">
        <f>IFERROR(IF((POZICIE_INTERNE!$B$41-12*('TCO TO BE- SW'!$D155-1))&gt;12,((T$4+'TCO TO BE - HW'!T$4)/($E$4+'TCO TO BE - HW'!$E$4)*SUM(POZICIE_INTERNE!$I$41:$I$52))/POZICIE_INTERNE!$B$41*12,IF((POZICIE_INTERNE!$B$41-12*('TCO TO BE- SW'!$D155-1))&lt;0,0,(POZICIE_INTERNE!$B$41-12*('TCO TO BE- SW'!$D155-1))*((T$4+'TCO TO BE - HW'!T$4)/($E$4+'TCO TO BE - HW'!$E$4)*SUM(POZICIE_INTERNE!$I$41:$I$52))/POZICIE_INTERNE!$B$41)),0)+IFERROR(IF((EXTERNE_POZICIE!$B$41-12*('TCO TO BE- SW'!$D155-1))&gt;12,((T$4+'TCO TO BE - HW'!T$4)/($E$4+'TCO TO BE - HW'!$E$4)*SUM(EXTERNE_POZICIE!$M$41:$M$52)*1.23)/EXTERNE_POZICIE!$B$41*12,IF((EXTERNE_POZICIE!$B$41-12*('TCO TO BE- SW'!$D155-1))&lt;0,0,(EXTERNE_POZICIE!$B$41-12*('TCO TO BE- SW'!$D155-1))*((T$4+'TCO TO BE - HW'!T$4)/($E$4+'TCO TO BE - HW'!$E$4)*SUM(EXTERNE_POZICIE!$M$41:$M$52)*1.23)/EXTERNE_POZICIE!$B$41)),0)+IFERROR(SUM(#REF!)*'TCO TO BE- SW'!T$4/'TCO TO BE- SW'!$E$4,0)</f>
        <v>0</v>
      </c>
      <c r="U155" s="574">
        <f>IFERROR(IF((POZICIE_INTERNE!$B$41-12*('TCO TO BE- SW'!$D155-1))&gt;12,((U$4+'TCO TO BE - HW'!U$4)/($E$4+'TCO TO BE - HW'!$E$4)*SUM(POZICIE_INTERNE!$I$41:$I$52))/POZICIE_INTERNE!$B$41*12,IF((POZICIE_INTERNE!$B$41-12*('TCO TO BE- SW'!$D155-1))&lt;0,0,(POZICIE_INTERNE!$B$41-12*('TCO TO BE- SW'!$D155-1))*((U$4+'TCO TO BE - HW'!U$4)/($E$4+'TCO TO BE - HW'!$E$4)*SUM(POZICIE_INTERNE!$I$41:$I$52))/POZICIE_INTERNE!$B$41)),0)+IFERROR(IF((EXTERNE_POZICIE!$B$41-12*('TCO TO BE- SW'!$D155-1))&gt;12,((U$4+'TCO TO BE - HW'!U$4)/($E$4+'TCO TO BE - HW'!$E$4)*SUM(EXTERNE_POZICIE!$M$41:$M$52)*1.23)/EXTERNE_POZICIE!$B$41*12,IF((EXTERNE_POZICIE!$B$41-12*('TCO TO BE- SW'!$D155-1))&lt;0,0,(EXTERNE_POZICIE!$B$41-12*('TCO TO BE- SW'!$D155-1))*((U$4+'TCO TO BE - HW'!U$4)/($E$4+'TCO TO BE - HW'!$E$4)*SUM(EXTERNE_POZICIE!$M$41:$M$52)*1.23)/EXTERNE_POZICIE!$B$41)),0)+IFERROR(SUM(#REF!)*'TCO TO BE- SW'!U$4/'TCO TO BE- SW'!$E$4,0)</f>
        <v>0</v>
      </c>
      <c r="V155" s="574">
        <f>IFERROR(IF((POZICIE_INTERNE!$B$41-12*('TCO TO BE- SW'!$D155-1))&gt;12,((V$4+'TCO TO BE - HW'!V$4)/($E$4+'TCO TO BE - HW'!$E$4)*SUM(POZICIE_INTERNE!$I$41:$I$52))/POZICIE_INTERNE!$B$41*12,IF((POZICIE_INTERNE!$B$41-12*('TCO TO BE- SW'!$D155-1))&lt;0,0,(POZICIE_INTERNE!$B$41-12*('TCO TO BE- SW'!$D155-1))*((V$4+'TCO TO BE - HW'!V$4)/($E$4+'TCO TO BE - HW'!$E$4)*SUM(POZICIE_INTERNE!$I$41:$I$52))/POZICIE_INTERNE!$B$41)),0)+IFERROR(IF((EXTERNE_POZICIE!$B$41-12*('TCO TO BE- SW'!$D155-1))&gt;12,((V$4+'TCO TO BE - HW'!V$4)/($E$4+'TCO TO BE - HW'!$E$4)*SUM(EXTERNE_POZICIE!$M$41:$M$52)*1.23)/EXTERNE_POZICIE!$B$41*12,IF((EXTERNE_POZICIE!$B$41-12*('TCO TO BE- SW'!$D155-1))&lt;0,0,(EXTERNE_POZICIE!$B$41-12*('TCO TO BE- SW'!$D155-1))*((V$4+'TCO TO BE - HW'!V$4)/($E$4+'TCO TO BE - HW'!$E$4)*SUM(EXTERNE_POZICIE!$M$41:$M$52)*1.23)/EXTERNE_POZICIE!$B$41)),0)+IFERROR(SUM(#REF!)*'TCO TO BE- SW'!V$4/'TCO TO BE- SW'!$E$4,0)</f>
        <v>0</v>
      </c>
      <c r="W155" s="574">
        <f>IFERROR(IF((POZICIE_INTERNE!$B$41-12*('TCO TO BE- SW'!$D155-1))&gt;12,((W$4+'TCO TO BE - HW'!W$4)/($E$4+'TCO TO BE - HW'!$E$4)*SUM(POZICIE_INTERNE!$I$41:$I$52))/POZICIE_INTERNE!$B$41*12,IF((POZICIE_INTERNE!$B$41-12*('TCO TO BE- SW'!$D155-1))&lt;0,0,(POZICIE_INTERNE!$B$41-12*('TCO TO BE- SW'!$D155-1))*((W$4+'TCO TO BE - HW'!W$4)/($E$4+'TCO TO BE - HW'!$E$4)*SUM(POZICIE_INTERNE!$I$41:$I$52))/POZICIE_INTERNE!$B$41)),0)+IFERROR(IF((EXTERNE_POZICIE!$B$41-12*('TCO TO BE- SW'!$D155-1))&gt;12,((W$4+'TCO TO BE - HW'!W$4)/($E$4+'TCO TO BE - HW'!$E$4)*SUM(EXTERNE_POZICIE!$M$41:$M$52)*1.23)/EXTERNE_POZICIE!$B$41*12,IF((EXTERNE_POZICIE!$B$41-12*('TCO TO BE- SW'!$D155-1))&lt;0,0,(EXTERNE_POZICIE!$B$41-12*('TCO TO BE- SW'!$D155-1))*((W$4+'TCO TO BE - HW'!W$4)/($E$4+'TCO TO BE - HW'!$E$4)*SUM(EXTERNE_POZICIE!$M$41:$M$52)*1.23)/EXTERNE_POZICIE!$B$41)),0)+IFERROR(SUM(#REF!)*'TCO TO BE- SW'!W$4/'TCO TO BE- SW'!$E$4,0)</f>
        <v>0</v>
      </c>
      <c r="X155" s="574">
        <f>IFERROR(IF((POZICIE_INTERNE!$B$41-12*('TCO TO BE- SW'!$D155-1))&gt;12,((X$4+'TCO TO BE - HW'!X$4)/($E$4+'TCO TO BE - HW'!$E$4)*SUM(POZICIE_INTERNE!$I$41:$I$52))/POZICIE_INTERNE!$B$41*12,IF((POZICIE_INTERNE!$B$41-12*('TCO TO BE- SW'!$D155-1))&lt;0,0,(POZICIE_INTERNE!$B$41-12*('TCO TO BE- SW'!$D155-1))*((X$4+'TCO TO BE - HW'!X$4)/($E$4+'TCO TO BE - HW'!$E$4)*SUM(POZICIE_INTERNE!$I$41:$I$52))/POZICIE_INTERNE!$B$41)),0)+IFERROR(IF((EXTERNE_POZICIE!$B$41-12*('TCO TO BE- SW'!$D155-1))&gt;12,((X$4+'TCO TO BE - HW'!X$4)/($E$4+'TCO TO BE - HW'!$E$4)*SUM(EXTERNE_POZICIE!$M$41:$M$52)*1.23)/EXTERNE_POZICIE!$B$41*12,IF((EXTERNE_POZICIE!$B$41-12*('TCO TO BE- SW'!$D155-1))&lt;0,0,(EXTERNE_POZICIE!$B$41-12*('TCO TO BE- SW'!$D155-1))*((X$4+'TCO TO BE - HW'!X$4)/($E$4+'TCO TO BE - HW'!$E$4)*SUM(EXTERNE_POZICIE!$M$41:$M$52)*1.23)/EXTERNE_POZICIE!$B$41)),0)+IFERROR(SUM(#REF!)*'TCO TO BE- SW'!X$4/'TCO TO BE- SW'!$E$4,0)</f>
        <v>0</v>
      </c>
      <c r="Y155" s="574">
        <f>IFERROR(IF((POZICIE_INTERNE!$B$41-12*('TCO TO BE- SW'!$D155-1))&gt;12,((Y$4+'TCO TO BE - HW'!Y$4)/($E$4+'TCO TO BE - HW'!$E$4)*SUM(POZICIE_INTERNE!$I$41:$I$52))/POZICIE_INTERNE!$B$41*12,IF((POZICIE_INTERNE!$B$41-12*('TCO TO BE- SW'!$D155-1))&lt;0,0,(POZICIE_INTERNE!$B$41-12*('TCO TO BE- SW'!$D155-1))*((Y$4+'TCO TO BE - HW'!Y$4)/($E$4+'TCO TO BE - HW'!$E$4)*SUM(POZICIE_INTERNE!$I$41:$I$52))/POZICIE_INTERNE!$B$41)),0)+IFERROR(IF((EXTERNE_POZICIE!$B$41-12*('TCO TO BE- SW'!$D155-1))&gt;12,((Y$4+'TCO TO BE - HW'!Y$4)/($E$4+'TCO TO BE - HW'!$E$4)*SUM(EXTERNE_POZICIE!$M$41:$M$52)*1.23)/EXTERNE_POZICIE!$B$41*12,IF((EXTERNE_POZICIE!$B$41-12*('TCO TO BE- SW'!$D155-1))&lt;0,0,(EXTERNE_POZICIE!$B$41-12*('TCO TO BE- SW'!$D155-1))*((Y$4+'TCO TO BE - HW'!Y$4)/($E$4+'TCO TO BE - HW'!$E$4)*SUM(EXTERNE_POZICIE!$M$41:$M$52)*1.23)/EXTERNE_POZICIE!$B$41)),0)+IFERROR(SUM(#REF!)*'TCO TO BE- SW'!Y$4/'TCO TO BE- SW'!$E$4,0)</f>
        <v>0</v>
      </c>
      <c r="Z155" s="574">
        <f>IFERROR(IF((POZICIE_INTERNE!$B$41-12*('TCO TO BE- SW'!$D155-1))&gt;12,((Z$4+'TCO TO BE - HW'!Z$4)/($E$4+'TCO TO BE - HW'!$E$4)*SUM(POZICIE_INTERNE!$I$41:$I$52))/POZICIE_INTERNE!$B$41*12,IF((POZICIE_INTERNE!$B$41-12*('TCO TO BE- SW'!$D155-1))&lt;0,0,(POZICIE_INTERNE!$B$41-12*('TCO TO BE- SW'!$D155-1))*((Z$4+'TCO TO BE - HW'!Z$4)/($E$4+'TCO TO BE - HW'!$E$4)*SUM(POZICIE_INTERNE!$I$41:$I$52))/POZICIE_INTERNE!$B$41)),0)+IFERROR(IF((EXTERNE_POZICIE!$B$41-12*('TCO TO BE- SW'!$D155-1))&gt;12,((Z$4+'TCO TO BE - HW'!Z$4)/($E$4+'TCO TO BE - HW'!$E$4)*SUM(EXTERNE_POZICIE!$M$41:$M$52)*1.23)/EXTERNE_POZICIE!$B$41*12,IF((EXTERNE_POZICIE!$B$41-12*('TCO TO BE- SW'!$D155-1))&lt;0,0,(EXTERNE_POZICIE!$B$41-12*('TCO TO BE- SW'!$D155-1))*((Z$4+'TCO TO BE - HW'!Z$4)/($E$4+'TCO TO BE - HW'!$E$4)*SUM(EXTERNE_POZICIE!$M$41:$M$52)*1.23)/EXTERNE_POZICIE!$B$41)),0)+IFERROR(SUM(#REF!)*'TCO TO BE- SW'!Z$4/'TCO TO BE- SW'!$E$4,0)</f>
        <v>0</v>
      </c>
    </row>
    <row r="156" spans="1:26">
      <c r="A156" s="817"/>
      <c r="B156" s="818"/>
      <c r="C156" s="818"/>
      <c r="D156" s="64">
        <v>6</v>
      </c>
      <c r="E156" s="68">
        <f t="shared" si="16"/>
        <v>0</v>
      </c>
      <c r="F156" s="574">
        <f>IFERROR(IF((POZICIE_INTERNE!$B$41-12*('TCO TO BE- SW'!$D156-1))&gt;12,((F$4+'TCO TO BE - HW'!F$4)/($E$4+'TCO TO BE - HW'!$E$4)*SUM(POZICIE_INTERNE!$I$41:$I$52))/POZICIE_INTERNE!$B$41*12,IF((POZICIE_INTERNE!$B$41-12*('TCO TO BE- SW'!$D156-1))&lt;0,0,(POZICIE_INTERNE!$B$41-12*('TCO TO BE- SW'!$D156-1))*((F$4+'TCO TO BE - HW'!F$4)/($E$4+'TCO TO BE - HW'!$E$4)*SUM(POZICIE_INTERNE!$I$41:$I$52))/POZICIE_INTERNE!$B$41)),0)+IFERROR(IF((EXTERNE_POZICIE!$B$41-12*('TCO TO BE- SW'!$D156-1))&gt;12,((F$4+'TCO TO BE - HW'!F$4)/($E$4+'TCO TO BE - HW'!$E$4)*SUM(EXTERNE_POZICIE!$M$41:$M$52)*1.23)/EXTERNE_POZICIE!$B$41*12,IF((EXTERNE_POZICIE!$B$41-12*('TCO TO BE- SW'!$D156-1))&lt;0,0,(EXTERNE_POZICIE!$B$41-12*('TCO TO BE- SW'!$D156-1))*((F$4+'TCO TO BE - HW'!F$4)/($E$4+'TCO TO BE - HW'!$E$4)*SUM(EXTERNE_POZICIE!$M$41:$M$52)*1.23)/EXTERNE_POZICIE!$B$41)),0)+IFERROR(SUM(#REF!)*'TCO TO BE- SW'!F$4/'TCO TO BE- SW'!$E$4,0)</f>
        <v>0</v>
      </c>
      <c r="G156" s="574">
        <f>IFERROR(IF((POZICIE_INTERNE!$B$41-12*('TCO TO BE- SW'!$D156-1))&gt;12,((G$4+'TCO TO BE - HW'!G$4)/($E$4+'TCO TO BE - HW'!$E$4)*SUM(POZICIE_INTERNE!$I$41:$I$52))/POZICIE_INTERNE!$B$41*12,IF((POZICIE_INTERNE!$B$41-12*('TCO TO BE- SW'!$D156-1))&lt;0,0,(POZICIE_INTERNE!$B$41-12*('TCO TO BE- SW'!$D156-1))*((G$4+'TCO TO BE - HW'!G$4)/($E$4+'TCO TO BE - HW'!$E$4)*SUM(POZICIE_INTERNE!$I$41:$I$52))/POZICIE_INTERNE!$B$41)),0)+IFERROR(IF((EXTERNE_POZICIE!$B$41-12*('TCO TO BE- SW'!$D156-1))&gt;12,((G$4+'TCO TO BE - HW'!G$4)/($E$4+'TCO TO BE - HW'!$E$4)*SUM(EXTERNE_POZICIE!$M$41:$M$52)*1.23)/EXTERNE_POZICIE!$B$41*12,IF((EXTERNE_POZICIE!$B$41-12*('TCO TO BE- SW'!$D156-1))&lt;0,0,(EXTERNE_POZICIE!$B$41-12*('TCO TO BE- SW'!$D156-1))*((G$4+'TCO TO BE - HW'!G$4)/($E$4+'TCO TO BE - HW'!$E$4)*SUM(EXTERNE_POZICIE!$M$41:$M$52)*1.23)/EXTERNE_POZICIE!$B$41)),0)+IFERROR(SUM(#REF!)*'TCO TO BE- SW'!G$4/'TCO TO BE- SW'!$E$4,0)</f>
        <v>0</v>
      </c>
      <c r="H156" s="574">
        <f>IFERROR(IF((POZICIE_INTERNE!$B$41-12*('TCO TO BE- SW'!$D156-1))&gt;12,((H$4+'TCO TO BE - HW'!H$4)/($E$4+'TCO TO BE - HW'!$E$4)*SUM(POZICIE_INTERNE!$I$41:$I$52))/POZICIE_INTERNE!$B$41*12,IF((POZICIE_INTERNE!$B$41-12*('TCO TO BE- SW'!$D156-1))&lt;0,0,(POZICIE_INTERNE!$B$41-12*('TCO TO BE- SW'!$D156-1))*((H$4+'TCO TO BE - HW'!H$4)/($E$4+'TCO TO BE - HW'!$E$4)*SUM(POZICIE_INTERNE!$I$41:$I$52))/POZICIE_INTERNE!$B$41)),0)+IFERROR(IF((EXTERNE_POZICIE!$B$41-12*('TCO TO BE- SW'!$D156-1))&gt;12,((H$4+'TCO TO BE - HW'!H$4)/($E$4+'TCO TO BE - HW'!$E$4)*SUM(EXTERNE_POZICIE!$M$41:$M$52)*1.23)/EXTERNE_POZICIE!$B$41*12,IF((EXTERNE_POZICIE!$B$41-12*('TCO TO BE- SW'!$D156-1))&lt;0,0,(EXTERNE_POZICIE!$B$41-12*('TCO TO BE- SW'!$D156-1))*((H$4+'TCO TO BE - HW'!H$4)/($E$4+'TCO TO BE - HW'!$E$4)*SUM(EXTERNE_POZICIE!$M$41:$M$52)*1.23)/EXTERNE_POZICIE!$B$41)),0)+IFERROR(SUM(#REF!)*'TCO TO BE- SW'!H$4/'TCO TO BE- SW'!$E$4,0)</f>
        <v>0</v>
      </c>
      <c r="I156" s="574">
        <f>IFERROR(IF((POZICIE_INTERNE!$B$41-12*('TCO TO BE- SW'!$D156-1))&gt;12,((I$4+'TCO TO BE - HW'!I$4)/($E$4+'TCO TO BE - HW'!$E$4)*SUM(POZICIE_INTERNE!$I$41:$I$52))/POZICIE_INTERNE!$B$41*12,IF((POZICIE_INTERNE!$B$41-12*('TCO TO BE- SW'!$D156-1))&lt;0,0,(POZICIE_INTERNE!$B$41-12*('TCO TO BE- SW'!$D156-1))*((I$4+'TCO TO BE - HW'!I$4)/($E$4+'TCO TO BE - HW'!$E$4)*SUM(POZICIE_INTERNE!$I$41:$I$52))/POZICIE_INTERNE!$B$41)),0)+IFERROR(IF((EXTERNE_POZICIE!$B$41-12*('TCO TO BE- SW'!$D156-1))&gt;12,((I$4+'TCO TO BE - HW'!I$4)/($E$4+'TCO TO BE - HW'!$E$4)*SUM(EXTERNE_POZICIE!$M$41:$M$52)*1.23)/EXTERNE_POZICIE!$B$41*12,IF((EXTERNE_POZICIE!$B$41-12*('TCO TO BE- SW'!$D156-1))&lt;0,0,(EXTERNE_POZICIE!$B$41-12*('TCO TO BE- SW'!$D156-1))*((I$4+'TCO TO BE - HW'!I$4)/($E$4+'TCO TO BE - HW'!$E$4)*SUM(EXTERNE_POZICIE!$M$41:$M$52)*1.23)/EXTERNE_POZICIE!$B$41)),0)+IFERROR(SUM(#REF!)*'TCO TO BE- SW'!I$4/'TCO TO BE- SW'!$E$4,0)</f>
        <v>0</v>
      </c>
      <c r="J156" s="574">
        <f>IFERROR(IF((POZICIE_INTERNE!$B$41-12*('TCO TO BE- SW'!$D156-1))&gt;12,((J$4+'TCO TO BE - HW'!J$4)/($E$4+'TCO TO BE - HW'!$E$4)*SUM(POZICIE_INTERNE!$I$41:$I$52))/POZICIE_INTERNE!$B$41*12,IF((POZICIE_INTERNE!$B$41-12*('TCO TO BE- SW'!$D156-1))&lt;0,0,(POZICIE_INTERNE!$B$41-12*('TCO TO BE- SW'!$D156-1))*((J$4+'TCO TO BE - HW'!J$4)/($E$4+'TCO TO BE - HW'!$E$4)*SUM(POZICIE_INTERNE!$I$41:$I$52))/POZICIE_INTERNE!$B$41)),0)+IFERROR(IF((EXTERNE_POZICIE!$B$41-12*('TCO TO BE- SW'!$D156-1))&gt;12,((J$4+'TCO TO BE - HW'!J$4)/($E$4+'TCO TO BE - HW'!$E$4)*SUM(EXTERNE_POZICIE!$M$41:$M$52)*1.23)/EXTERNE_POZICIE!$B$41*12,IF((EXTERNE_POZICIE!$B$41-12*('TCO TO BE- SW'!$D156-1))&lt;0,0,(EXTERNE_POZICIE!$B$41-12*('TCO TO BE- SW'!$D156-1))*((J$4+'TCO TO BE - HW'!J$4)/($E$4+'TCO TO BE - HW'!$E$4)*SUM(EXTERNE_POZICIE!$M$41:$M$52)*1.23)/EXTERNE_POZICIE!$B$41)),0)+IFERROR(SUM(#REF!)*'TCO TO BE- SW'!J$4/'TCO TO BE- SW'!$E$4,0)</f>
        <v>0</v>
      </c>
      <c r="K156" s="574">
        <f>IFERROR(IF((POZICIE_INTERNE!$B$41-12*('TCO TO BE- SW'!$D156-1))&gt;12,((K$4+'TCO TO BE - HW'!K$4)/($E$4+'TCO TO BE - HW'!$E$4)*SUM(POZICIE_INTERNE!$I$41:$I$52))/POZICIE_INTERNE!$B$41*12,IF((POZICIE_INTERNE!$B$41-12*('TCO TO BE- SW'!$D156-1))&lt;0,0,(POZICIE_INTERNE!$B$41-12*('TCO TO BE- SW'!$D156-1))*((K$4+'TCO TO BE - HW'!K$4)/($E$4+'TCO TO BE - HW'!$E$4)*SUM(POZICIE_INTERNE!$I$41:$I$52))/POZICIE_INTERNE!$B$41)),0)+IFERROR(IF((EXTERNE_POZICIE!$B$41-12*('TCO TO BE- SW'!$D156-1))&gt;12,((K$4+'TCO TO BE - HW'!K$4)/($E$4+'TCO TO BE - HW'!$E$4)*SUM(EXTERNE_POZICIE!$M$41:$M$52)*1.23)/EXTERNE_POZICIE!$B$41*12,IF((EXTERNE_POZICIE!$B$41-12*('TCO TO BE- SW'!$D156-1))&lt;0,0,(EXTERNE_POZICIE!$B$41-12*('TCO TO BE- SW'!$D156-1))*((K$4+'TCO TO BE - HW'!K$4)/($E$4+'TCO TO BE - HW'!$E$4)*SUM(EXTERNE_POZICIE!$M$41:$M$52)*1.23)/EXTERNE_POZICIE!$B$41)),0)+IFERROR(SUM(#REF!)*'TCO TO BE- SW'!K$4/'TCO TO BE- SW'!$E$4,0)</f>
        <v>0</v>
      </c>
      <c r="L156" s="574">
        <f>IFERROR(IF((POZICIE_INTERNE!$B$41-12*('TCO TO BE- SW'!$D156-1))&gt;12,((L$4+'TCO TO BE - HW'!L$4)/($E$4+'TCO TO BE - HW'!$E$4)*SUM(POZICIE_INTERNE!$I$41:$I$52))/POZICIE_INTERNE!$B$41*12,IF((POZICIE_INTERNE!$B$41-12*('TCO TO BE- SW'!$D156-1))&lt;0,0,(POZICIE_INTERNE!$B$41-12*('TCO TO BE- SW'!$D156-1))*((L$4+'TCO TO BE - HW'!L$4)/($E$4+'TCO TO BE - HW'!$E$4)*SUM(POZICIE_INTERNE!$I$41:$I$52))/POZICIE_INTERNE!$B$41)),0)+IFERROR(IF((EXTERNE_POZICIE!$B$41-12*('TCO TO BE- SW'!$D156-1))&gt;12,((L$4+'TCO TO BE - HW'!L$4)/($E$4+'TCO TO BE - HW'!$E$4)*SUM(EXTERNE_POZICIE!$M$41:$M$52)*1.23)/EXTERNE_POZICIE!$B$41*12,IF((EXTERNE_POZICIE!$B$41-12*('TCO TO BE- SW'!$D156-1))&lt;0,0,(EXTERNE_POZICIE!$B$41-12*('TCO TO BE- SW'!$D156-1))*((L$4+'TCO TO BE - HW'!L$4)/($E$4+'TCO TO BE - HW'!$E$4)*SUM(EXTERNE_POZICIE!$M$41:$M$52)*1.23)/EXTERNE_POZICIE!$B$41)),0)+IFERROR(SUM(#REF!)*'TCO TO BE- SW'!L$4/'TCO TO BE- SW'!$E$4,0)</f>
        <v>0</v>
      </c>
      <c r="M156" s="574">
        <f>IFERROR(IF((POZICIE_INTERNE!$B$41-12*('TCO TO BE- SW'!$D156-1))&gt;12,((M$4+'TCO TO BE - HW'!M$4)/($E$4+'TCO TO BE - HW'!$E$4)*SUM(POZICIE_INTERNE!$I$41:$I$52))/POZICIE_INTERNE!$B$41*12,IF((POZICIE_INTERNE!$B$41-12*('TCO TO BE- SW'!$D156-1))&lt;0,0,(POZICIE_INTERNE!$B$41-12*('TCO TO BE- SW'!$D156-1))*((M$4+'TCO TO BE - HW'!M$4)/($E$4+'TCO TO BE - HW'!$E$4)*SUM(POZICIE_INTERNE!$I$41:$I$52))/POZICIE_INTERNE!$B$41)),0)+IFERROR(IF((EXTERNE_POZICIE!$B$41-12*('TCO TO BE- SW'!$D156-1))&gt;12,((M$4+'TCO TO BE - HW'!M$4)/($E$4+'TCO TO BE - HW'!$E$4)*SUM(EXTERNE_POZICIE!$M$41:$M$52)*1.23)/EXTERNE_POZICIE!$B$41*12,IF((EXTERNE_POZICIE!$B$41-12*('TCO TO BE- SW'!$D156-1))&lt;0,0,(EXTERNE_POZICIE!$B$41-12*('TCO TO BE- SW'!$D156-1))*((M$4+'TCO TO BE - HW'!M$4)/($E$4+'TCO TO BE - HW'!$E$4)*SUM(EXTERNE_POZICIE!$M$41:$M$52)*1.23)/EXTERNE_POZICIE!$B$41)),0)+IFERROR(SUM(#REF!)*'TCO TO BE- SW'!M$4/'TCO TO BE- SW'!$E$4,0)</f>
        <v>0</v>
      </c>
      <c r="N156" s="574">
        <f>IFERROR(IF((POZICIE_INTERNE!$B$41-12*('TCO TO BE- SW'!$D156-1))&gt;12,((N$4+'TCO TO BE - HW'!N$4)/($E$4+'TCO TO BE - HW'!$E$4)*SUM(POZICIE_INTERNE!$I$41:$I$52))/POZICIE_INTERNE!$B$41*12,IF((POZICIE_INTERNE!$B$41-12*('TCO TO BE- SW'!$D156-1))&lt;0,0,(POZICIE_INTERNE!$B$41-12*('TCO TO BE- SW'!$D156-1))*((N$4+'TCO TO BE - HW'!N$4)/($E$4+'TCO TO BE - HW'!$E$4)*SUM(POZICIE_INTERNE!$I$41:$I$52))/POZICIE_INTERNE!$B$41)),0)+IFERROR(IF((EXTERNE_POZICIE!$B$41-12*('TCO TO BE- SW'!$D156-1))&gt;12,((N$4+'TCO TO BE - HW'!N$4)/($E$4+'TCO TO BE - HW'!$E$4)*SUM(EXTERNE_POZICIE!$M$41:$M$52)*1.23)/EXTERNE_POZICIE!$B$41*12,IF((EXTERNE_POZICIE!$B$41-12*('TCO TO BE- SW'!$D156-1))&lt;0,0,(EXTERNE_POZICIE!$B$41-12*('TCO TO BE- SW'!$D156-1))*((N$4+'TCO TO BE - HW'!N$4)/($E$4+'TCO TO BE - HW'!$E$4)*SUM(EXTERNE_POZICIE!$M$41:$M$52)*1.23)/EXTERNE_POZICIE!$B$41)),0)+IFERROR(SUM(#REF!)*'TCO TO BE- SW'!N$4/'TCO TO BE- SW'!$E$4,0)</f>
        <v>0</v>
      </c>
      <c r="O156" s="574">
        <f>IFERROR(IF((POZICIE_INTERNE!$B$41-12*('TCO TO BE- SW'!$D156-1))&gt;12,((O$4+'TCO TO BE - HW'!O$4)/($E$4+'TCO TO BE - HW'!$E$4)*SUM(POZICIE_INTERNE!$I$41:$I$52))/POZICIE_INTERNE!$B$41*12,IF((POZICIE_INTERNE!$B$41-12*('TCO TO BE- SW'!$D156-1))&lt;0,0,(POZICIE_INTERNE!$B$41-12*('TCO TO BE- SW'!$D156-1))*((O$4+'TCO TO BE - HW'!O$4)/($E$4+'TCO TO BE - HW'!$E$4)*SUM(POZICIE_INTERNE!$I$41:$I$52))/POZICIE_INTERNE!$B$41)),0)+IFERROR(IF((EXTERNE_POZICIE!$B$41-12*('TCO TO BE- SW'!$D156-1))&gt;12,((O$4+'TCO TO BE - HW'!O$4)/($E$4+'TCO TO BE - HW'!$E$4)*SUM(EXTERNE_POZICIE!$M$41:$M$52)*1.23)/EXTERNE_POZICIE!$B$41*12,IF((EXTERNE_POZICIE!$B$41-12*('TCO TO BE- SW'!$D156-1))&lt;0,0,(EXTERNE_POZICIE!$B$41-12*('TCO TO BE- SW'!$D156-1))*((O$4+'TCO TO BE - HW'!O$4)/($E$4+'TCO TO BE - HW'!$E$4)*SUM(EXTERNE_POZICIE!$M$41:$M$52)*1.23)/EXTERNE_POZICIE!$B$41)),0)+IFERROR(SUM(#REF!)*'TCO TO BE- SW'!O$4/'TCO TO BE- SW'!$E$4,0)</f>
        <v>0</v>
      </c>
      <c r="P156" s="574">
        <f>IFERROR(IF((POZICIE_INTERNE!$B$41-12*('TCO TO BE- SW'!$D156-1))&gt;12,((P$4+'TCO TO BE - HW'!P$4)/($E$4+'TCO TO BE - HW'!$E$4)*SUM(POZICIE_INTERNE!$I$41:$I$52))/POZICIE_INTERNE!$B$41*12,IF((POZICIE_INTERNE!$B$41-12*('TCO TO BE- SW'!$D156-1))&lt;0,0,(POZICIE_INTERNE!$B$41-12*('TCO TO BE- SW'!$D156-1))*((P$4+'TCO TO BE - HW'!P$4)/($E$4+'TCO TO BE - HW'!$E$4)*SUM(POZICIE_INTERNE!$I$41:$I$52))/POZICIE_INTERNE!$B$41)),0)+IFERROR(IF((EXTERNE_POZICIE!$B$41-12*('TCO TO BE- SW'!$D156-1))&gt;12,((P$4+'TCO TO BE - HW'!P$4)/($E$4+'TCO TO BE - HW'!$E$4)*SUM(EXTERNE_POZICIE!$M$41:$M$52)*1.23)/EXTERNE_POZICIE!$B$41*12,IF((EXTERNE_POZICIE!$B$41-12*('TCO TO BE- SW'!$D156-1))&lt;0,0,(EXTERNE_POZICIE!$B$41-12*('TCO TO BE- SW'!$D156-1))*((P$4+'TCO TO BE - HW'!P$4)/($E$4+'TCO TO BE - HW'!$E$4)*SUM(EXTERNE_POZICIE!$M$41:$M$52)*1.23)/EXTERNE_POZICIE!$B$41)),0)+IFERROR(SUM(#REF!)*'TCO TO BE- SW'!P$4/'TCO TO BE- SW'!$E$4,0)</f>
        <v>0</v>
      </c>
      <c r="Q156" s="574">
        <f>IFERROR(IF((POZICIE_INTERNE!$B$41-12*('TCO TO BE- SW'!$D156-1))&gt;12,((Q$4+'TCO TO BE - HW'!Q$4)/($E$4+'TCO TO BE - HW'!$E$4)*SUM(POZICIE_INTERNE!$I$41:$I$52))/POZICIE_INTERNE!$B$41*12,IF((POZICIE_INTERNE!$B$41-12*('TCO TO BE- SW'!$D156-1))&lt;0,0,(POZICIE_INTERNE!$B$41-12*('TCO TO BE- SW'!$D156-1))*((Q$4+'TCO TO BE - HW'!Q$4)/($E$4+'TCO TO BE - HW'!$E$4)*SUM(POZICIE_INTERNE!$I$41:$I$52))/POZICIE_INTERNE!$B$41)),0)+IFERROR(IF((EXTERNE_POZICIE!$B$41-12*('TCO TO BE- SW'!$D156-1))&gt;12,((Q$4+'TCO TO BE - HW'!Q$4)/($E$4+'TCO TO BE - HW'!$E$4)*SUM(EXTERNE_POZICIE!$M$41:$M$52)*1.23)/EXTERNE_POZICIE!$B$41*12,IF((EXTERNE_POZICIE!$B$41-12*('TCO TO BE- SW'!$D156-1))&lt;0,0,(EXTERNE_POZICIE!$B$41-12*('TCO TO BE- SW'!$D156-1))*((Q$4+'TCO TO BE - HW'!Q$4)/($E$4+'TCO TO BE - HW'!$E$4)*SUM(EXTERNE_POZICIE!$M$41:$M$52)*1.23)/EXTERNE_POZICIE!$B$41)),0)+IFERROR(SUM(#REF!)*'TCO TO BE- SW'!Q$4/'TCO TO BE- SW'!$E$4,0)</f>
        <v>0</v>
      </c>
      <c r="R156" s="574">
        <f>IFERROR(IF((POZICIE_INTERNE!$B$41-12*('TCO TO BE- SW'!$D156-1))&gt;12,((R$4+'TCO TO BE - HW'!R$4)/($E$4+'TCO TO BE - HW'!$E$4)*SUM(POZICIE_INTERNE!$I$41:$I$52))/POZICIE_INTERNE!$B$41*12,IF((POZICIE_INTERNE!$B$41-12*('TCO TO BE- SW'!$D156-1))&lt;0,0,(POZICIE_INTERNE!$B$41-12*('TCO TO BE- SW'!$D156-1))*((R$4+'TCO TO BE - HW'!R$4)/($E$4+'TCO TO BE - HW'!$E$4)*SUM(POZICIE_INTERNE!$I$41:$I$52))/POZICIE_INTERNE!$B$41)),0)+IFERROR(IF((EXTERNE_POZICIE!$B$41-12*('TCO TO BE- SW'!$D156-1))&gt;12,((R$4+'TCO TO BE - HW'!R$4)/($E$4+'TCO TO BE - HW'!$E$4)*SUM(EXTERNE_POZICIE!$M$41:$M$52)*1.23)/EXTERNE_POZICIE!$B$41*12,IF((EXTERNE_POZICIE!$B$41-12*('TCO TO BE- SW'!$D156-1))&lt;0,0,(EXTERNE_POZICIE!$B$41-12*('TCO TO BE- SW'!$D156-1))*((R$4+'TCO TO BE - HW'!R$4)/($E$4+'TCO TO BE - HW'!$E$4)*SUM(EXTERNE_POZICIE!$M$41:$M$52)*1.23)/EXTERNE_POZICIE!$B$41)),0)+IFERROR(SUM(#REF!)*'TCO TO BE- SW'!R$4/'TCO TO BE- SW'!$E$4,0)</f>
        <v>0</v>
      </c>
      <c r="S156" s="574">
        <f>IFERROR(IF((POZICIE_INTERNE!$B$41-12*('TCO TO BE- SW'!$D156-1))&gt;12,((S$4+'TCO TO BE - HW'!S$4)/($E$4+'TCO TO BE - HW'!$E$4)*SUM(POZICIE_INTERNE!$I$41:$I$52))/POZICIE_INTERNE!$B$41*12,IF((POZICIE_INTERNE!$B$41-12*('TCO TO BE- SW'!$D156-1))&lt;0,0,(POZICIE_INTERNE!$B$41-12*('TCO TO BE- SW'!$D156-1))*((S$4+'TCO TO BE - HW'!S$4)/($E$4+'TCO TO BE - HW'!$E$4)*SUM(POZICIE_INTERNE!$I$41:$I$52))/POZICIE_INTERNE!$B$41)),0)+IFERROR(IF((EXTERNE_POZICIE!$B$41-12*('TCO TO BE- SW'!$D156-1))&gt;12,((S$4+'TCO TO BE - HW'!S$4)/($E$4+'TCO TO BE - HW'!$E$4)*SUM(EXTERNE_POZICIE!$M$41:$M$52)*1.23)/EXTERNE_POZICIE!$B$41*12,IF((EXTERNE_POZICIE!$B$41-12*('TCO TO BE- SW'!$D156-1))&lt;0,0,(EXTERNE_POZICIE!$B$41-12*('TCO TO BE- SW'!$D156-1))*((S$4+'TCO TO BE - HW'!S$4)/($E$4+'TCO TO BE - HW'!$E$4)*SUM(EXTERNE_POZICIE!$M$41:$M$52)*1.23)/EXTERNE_POZICIE!$B$41)),0)+IFERROR(SUM(#REF!)*'TCO TO BE- SW'!S$4/'TCO TO BE- SW'!$E$4,0)</f>
        <v>0</v>
      </c>
      <c r="T156" s="574">
        <f>IFERROR(IF((POZICIE_INTERNE!$B$41-12*('TCO TO BE- SW'!$D156-1))&gt;12,((T$4+'TCO TO BE - HW'!T$4)/($E$4+'TCO TO BE - HW'!$E$4)*SUM(POZICIE_INTERNE!$I$41:$I$52))/POZICIE_INTERNE!$B$41*12,IF((POZICIE_INTERNE!$B$41-12*('TCO TO BE- SW'!$D156-1))&lt;0,0,(POZICIE_INTERNE!$B$41-12*('TCO TO BE- SW'!$D156-1))*((T$4+'TCO TO BE - HW'!T$4)/($E$4+'TCO TO BE - HW'!$E$4)*SUM(POZICIE_INTERNE!$I$41:$I$52))/POZICIE_INTERNE!$B$41)),0)+IFERROR(IF((EXTERNE_POZICIE!$B$41-12*('TCO TO BE- SW'!$D156-1))&gt;12,((T$4+'TCO TO BE - HW'!T$4)/($E$4+'TCO TO BE - HW'!$E$4)*SUM(EXTERNE_POZICIE!$M$41:$M$52)*1.23)/EXTERNE_POZICIE!$B$41*12,IF((EXTERNE_POZICIE!$B$41-12*('TCO TO BE- SW'!$D156-1))&lt;0,0,(EXTERNE_POZICIE!$B$41-12*('TCO TO BE- SW'!$D156-1))*((T$4+'TCO TO BE - HW'!T$4)/($E$4+'TCO TO BE - HW'!$E$4)*SUM(EXTERNE_POZICIE!$M$41:$M$52)*1.23)/EXTERNE_POZICIE!$B$41)),0)+IFERROR(SUM(#REF!)*'TCO TO BE- SW'!T$4/'TCO TO BE- SW'!$E$4,0)</f>
        <v>0</v>
      </c>
      <c r="U156" s="574">
        <f>IFERROR(IF((POZICIE_INTERNE!$B$41-12*('TCO TO BE- SW'!$D156-1))&gt;12,((U$4+'TCO TO BE - HW'!U$4)/($E$4+'TCO TO BE - HW'!$E$4)*SUM(POZICIE_INTERNE!$I$41:$I$52))/POZICIE_INTERNE!$B$41*12,IF((POZICIE_INTERNE!$B$41-12*('TCO TO BE- SW'!$D156-1))&lt;0,0,(POZICIE_INTERNE!$B$41-12*('TCO TO BE- SW'!$D156-1))*((U$4+'TCO TO BE - HW'!U$4)/($E$4+'TCO TO BE - HW'!$E$4)*SUM(POZICIE_INTERNE!$I$41:$I$52))/POZICIE_INTERNE!$B$41)),0)+IFERROR(IF((EXTERNE_POZICIE!$B$41-12*('TCO TO BE- SW'!$D156-1))&gt;12,((U$4+'TCO TO BE - HW'!U$4)/($E$4+'TCO TO BE - HW'!$E$4)*SUM(EXTERNE_POZICIE!$M$41:$M$52)*1.23)/EXTERNE_POZICIE!$B$41*12,IF((EXTERNE_POZICIE!$B$41-12*('TCO TO BE- SW'!$D156-1))&lt;0,0,(EXTERNE_POZICIE!$B$41-12*('TCO TO BE- SW'!$D156-1))*((U$4+'TCO TO BE - HW'!U$4)/($E$4+'TCO TO BE - HW'!$E$4)*SUM(EXTERNE_POZICIE!$M$41:$M$52)*1.23)/EXTERNE_POZICIE!$B$41)),0)+IFERROR(SUM(#REF!)*'TCO TO BE- SW'!U$4/'TCO TO BE- SW'!$E$4,0)</f>
        <v>0</v>
      </c>
      <c r="V156" s="574">
        <f>IFERROR(IF((POZICIE_INTERNE!$B$41-12*('TCO TO BE- SW'!$D156-1))&gt;12,((V$4+'TCO TO BE - HW'!V$4)/($E$4+'TCO TO BE - HW'!$E$4)*SUM(POZICIE_INTERNE!$I$41:$I$52))/POZICIE_INTERNE!$B$41*12,IF((POZICIE_INTERNE!$B$41-12*('TCO TO BE- SW'!$D156-1))&lt;0,0,(POZICIE_INTERNE!$B$41-12*('TCO TO BE- SW'!$D156-1))*((V$4+'TCO TO BE - HW'!V$4)/($E$4+'TCO TO BE - HW'!$E$4)*SUM(POZICIE_INTERNE!$I$41:$I$52))/POZICIE_INTERNE!$B$41)),0)+IFERROR(IF((EXTERNE_POZICIE!$B$41-12*('TCO TO BE- SW'!$D156-1))&gt;12,((V$4+'TCO TO BE - HW'!V$4)/($E$4+'TCO TO BE - HW'!$E$4)*SUM(EXTERNE_POZICIE!$M$41:$M$52)*1.23)/EXTERNE_POZICIE!$B$41*12,IF((EXTERNE_POZICIE!$B$41-12*('TCO TO BE- SW'!$D156-1))&lt;0,0,(EXTERNE_POZICIE!$B$41-12*('TCO TO BE- SW'!$D156-1))*((V$4+'TCO TO BE - HW'!V$4)/($E$4+'TCO TO BE - HW'!$E$4)*SUM(EXTERNE_POZICIE!$M$41:$M$52)*1.23)/EXTERNE_POZICIE!$B$41)),0)+IFERROR(SUM(#REF!)*'TCO TO BE- SW'!V$4/'TCO TO BE- SW'!$E$4,0)</f>
        <v>0</v>
      </c>
      <c r="W156" s="574">
        <f>IFERROR(IF((POZICIE_INTERNE!$B$41-12*('TCO TO BE- SW'!$D156-1))&gt;12,((W$4+'TCO TO BE - HW'!W$4)/($E$4+'TCO TO BE - HW'!$E$4)*SUM(POZICIE_INTERNE!$I$41:$I$52))/POZICIE_INTERNE!$B$41*12,IF((POZICIE_INTERNE!$B$41-12*('TCO TO BE- SW'!$D156-1))&lt;0,0,(POZICIE_INTERNE!$B$41-12*('TCO TO BE- SW'!$D156-1))*((W$4+'TCO TO BE - HW'!W$4)/($E$4+'TCO TO BE - HW'!$E$4)*SUM(POZICIE_INTERNE!$I$41:$I$52))/POZICIE_INTERNE!$B$41)),0)+IFERROR(IF((EXTERNE_POZICIE!$B$41-12*('TCO TO BE- SW'!$D156-1))&gt;12,((W$4+'TCO TO BE - HW'!W$4)/($E$4+'TCO TO BE - HW'!$E$4)*SUM(EXTERNE_POZICIE!$M$41:$M$52)*1.23)/EXTERNE_POZICIE!$B$41*12,IF((EXTERNE_POZICIE!$B$41-12*('TCO TO BE- SW'!$D156-1))&lt;0,0,(EXTERNE_POZICIE!$B$41-12*('TCO TO BE- SW'!$D156-1))*((W$4+'TCO TO BE - HW'!W$4)/($E$4+'TCO TO BE - HW'!$E$4)*SUM(EXTERNE_POZICIE!$M$41:$M$52)*1.23)/EXTERNE_POZICIE!$B$41)),0)+IFERROR(SUM(#REF!)*'TCO TO BE- SW'!W$4/'TCO TO BE- SW'!$E$4,0)</f>
        <v>0</v>
      </c>
      <c r="X156" s="574">
        <f>IFERROR(IF((POZICIE_INTERNE!$B$41-12*('TCO TO BE- SW'!$D156-1))&gt;12,((X$4+'TCO TO BE - HW'!X$4)/($E$4+'TCO TO BE - HW'!$E$4)*SUM(POZICIE_INTERNE!$I$41:$I$52))/POZICIE_INTERNE!$B$41*12,IF((POZICIE_INTERNE!$B$41-12*('TCO TO BE- SW'!$D156-1))&lt;0,0,(POZICIE_INTERNE!$B$41-12*('TCO TO BE- SW'!$D156-1))*((X$4+'TCO TO BE - HW'!X$4)/($E$4+'TCO TO BE - HW'!$E$4)*SUM(POZICIE_INTERNE!$I$41:$I$52))/POZICIE_INTERNE!$B$41)),0)+IFERROR(IF((EXTERNE_POZICIE!$B$41-12*('TCO TO BE- SW'!$D156-1))&gt;12,((X$4+'TCO TO BE - HW'!X$4)/($E$4+'TCO TO BE - HW'!$E$4)*SUM(EXTERNE_POZICIE!$M$41:$M$52)*1.23)/EXTERNE_POZICIE!$B$41*12,IF((EXTERNE_POZICIE!$B$41-12*('TCO TO BE- SW'!$D156-1))&lt;0,0,(EXTERNE_POZICIE!$B$41-12*('TCO TO BE- SW'!$D156-1))*((X$4+'TCO TO BE - HW'!X$4)/($E$4+'TCO TO BE - HW'!$E$4)*SUM(EXTERNE_POZICIE!$M$41:$M$52)*1.23)/EXTERNE_POZICIE!$B$41)),0)+IFERROR(SUM(#REF!)*'TCO TO BE- SW'!X$4/'TCO TO BE- SW'!$E$4,0)</f>
        <v>0</v>
      </c>
      <c r="Y156" s="574">
        <f>IFERROR(IF((POZICIE_INTERNE!$B$41-12*('TCO TO BE- SW'!$D156-1))&gt;12,((Y$4+'TCO TO BE - HW'!Y$4)/($E$4+'TCO TO BE - HW'!$E$4)*SUM(POZICIE_INTERNE!$I$41:$I$52))/POZICIE_INTERNE!$B$41*12,IF((POZICIE_INTERNE!$B$41-12*('TCO TO BE- SW'!$D156-1))&lt;0,0,(POZICIE_INTERNE!$B$41-12*('TCO TO BE- SW'!$D156-1))*((Y$4+'TCO TO BE - HW'!Y$4)/($E$4+'TCO TO BE - HW'!$E$4)*SUM(POZICIE_INTERNE!$I$41:$I$52))/POZICIE_INTERNE!$B$41)),0)+IFERROR(IF((EXTERNE_POZICIE!$B$41-12*('TCO TO BE- SW'!$D156-1))&gt;12,((Y$4+'TCO TO BE - HW'!Y$4)/($E$4+'TCO TO BE - HW'!$E$4)*SUM(EXTERNE_POZICIE!$M$41:$M$52)*1.23)/EXTERNE_POZICIE!$B$41*12,IF((EXTERNE_POZICIE!$B$41-12*('TCO TO BE- SW'!$D156-1))&lt;0,0,(EXTERNE_POZICIE!$B$41-12*('TCO TO BE- SW'!$D156-1))*((Y$4+'TCO TO BE - HW'!Y$4)/($E$4+'TCO TO BE - HW'!$E$4)*SUM(EXTERNE_POZICIE!$M$41:$M$52)*1.23)/EXTERNE_POZICIE!$B$41)),0)+IFERROR(SUM(#REF!)*'TCO TO BE- SW'!Y$4/'TCO TO BE- SW'!$E$4,0)</f>
        <v>0</v>
      </c>
      <c r="Z156" s="574">
        <f>IFERROR(IF((POZICIE_INTERNE!$B$41-12*('TCO TO BE- SW'!$D156-1))&gt;12,((Z$4+'TCO TO BE - HW'!Z$4)/($E$4+'TCO TO BE - HW'!$E$4)*SUM(POZICIE_INTERNE!$I$41:$I$52))/POZICIE_INTERNE!$B$41*12,IF((POZICIE_INTERNE!$B$41-12*('TCO TO BE- SW'!$D156-1))&lt;0,0,(POZICIE_INTERNE!$B$41-12*('TCO TO BE- SW'!$D156-1))*((Z$4+'TCO TO BE - HW'!Z$4)/($E$4+'TCO TO BE - HW'!$E$4)*SUM(POZICIE_INTERNE!$I$41:$I$52))/POZICIE_INTERNE!$B$41)),0)+IFERROR(IF((EXTERNE_POZICIE!$B$41-12*('TCO TO BE- SW'!$D156-1))&gt;12,((Z$4+'TCO TO BE - HW'!Z$4)/($E$4+'TCO TO BE - HW'!$E$4)*SUM(EXTERNE_POZICIE!$M$41:$M$52)*1.23)/EXTERNE_POZICIE!$B$41*12,IF((EXTERNE_POZICIE!$B$41-12*('TCO TO BE- SW'!$D156-1))&lt;0,0,(EXTERNE_POZICIE!$B$41-12*('TCO TO BE- SW'!$D156-1))*((Z$4+'TCO TO BE - HW'!Z$4)/($E$4+'TCO TO BE - HW'!$E$4)*SUM(EXTERNE_POZICIE!$M$41:$M$52)*1.23)/EXTERNE_POZICIE!$B$41)),0)+IFERROR(SUM(#REF!)*'TCO TO BE- SW'!Z$4/'TCO TO BE- SW'!$E$4,0)</f>
        <v>0</v>
      </c>
    </row>
    <row r="157" spans="1:26">
      <c r="A157" s="817"/>
      <c r="B157" s="818"/>
      <c r="C157" s="818"/>
      <c r="D157" s="64">
        <v>7</v>
      </c>
      <c r="E157" s="68">
        <f t="shared" si="16"/>
        <v>0</v>
      </c>
      <c r="F157" s="574">
        <f>IFERROR(IF((POZICIE_INTERNE!$B$41-12*('TCO TO BE- SW'!$D157-1))&gt;12,((F$4+'TCO TO BE - HW'!F$4)/($E$4+'TCO TO BE - HW'!$E$4)*SUM(POZICIE_INTERNE!$I$41:$I$52))/POZICIE_INTERNE!$B$41*12,IF((POZICIE_INTERNE!$B$41-12*('TCO TO BE- SW'!$D157-1))&lt;0,0,(POZICIE_INTERNE!$B$41-12*('TCO TO BE- SW'!$D157-1))*((F$4+'TCO TO BE - HW'!F$4)/($E$4+'TCO TO BE - HW'!$E$4)*SUM(POZICIE_INTERNE!$I$41:$I$52))/POZICIE_INTERNE!$B$41)),0)+IFERROR(IF((EXTERNE_POZICIE!$B$41-12*('TCO TO BE- SW'!$D157-1))&gt;12,((F$4+'TCO TO BE - HW'!F$4)/($E$4+'TCO TO BE - HW'!$E$4)*SUM(EXTERNE_POZICIE!$M$41:$M$52)*1.23)/EXTERNE_POZICIE!$B$41*12,IF((EXTERNE_POZICIE!$B$41-12*('TCO TO BE- SW'!$D157-1))&lt;0,0,(EXTERNE_POZICIE!$B$41-12*('TCO TO BE- SW'!$D157-1))*((F$4+'TCO TO BE - HW'!F$4)/($E$4+'TCO TO BE - HW'!$E$4)*SUM(EXTERNE_POZICIE!$M$41:$M$52)*1.23)/EXTERNE_POZICIE!$B$41)),0)+IFERROR(SUM(#REF!)*'TCO TO BE- SW'!F$4/'TCO TO BE- SW'!$E$4,0)</f>
        <v>0</v>
      </c>
      <c r="G157" s="574">
        <f>IFERROR(IF((POZICIE_INTERNE!$B$41-12*('TCO TO BE- SW'!$D157-1))&gt;12,((G$4+'TCO TO BE - HW'!G$4)/($E$4+'TCO TO BE - HW'!$E$4)*SUM(POZICIE_INTERNE!$I$41:$I$52))/POZICIE_INTERNE!$B$41*12,IF((POZICIE_INTERNE!$B$41-12*('TCO TO BE- SW'!$D157-1))&lt;0,0,(POZICIE_INTERNE!$B$41-12*('TCO TO BE- SW'!$D157-1))*((G$4+'TCO TO BE - HW'!G$4)/($E$4+'TCO TO BE - HW'!$E$4)*SUM(POZICIE_INTERNE!$I$41:$I$52))/POZICIE_INTERNE!$B$41)),0)+IFERROR(IF((EXTERNE_POZICIE!$B$41-12*('TCO TO BE- SW'!$D157-1))&gt;12,((G$4+'TCO TO BE - HW'!G$4)/($E$4+'TCO TO BE - HW'!$E$4)*SUM(EXTERNE_POZICIE!$M$41:$M$52)*1.23)/EXTERNE_POZICIE!$B$41*12,IF((EXTERNE_POZICIE!$B$41-12*('TCO TO BE- SW'!$D157-1))&lt;0,0,(EXTERNE_POZICIE!$B$41-12*('TCO TO BE- SW'!$D157-1))*((G$4+'TCO TO BE - HW'!G$4)/($E$4+'TCO TO BE - HW'!$E$4)*SUM(EXTERNE_POZICIE!$M$41:$M$52)*1.23)/EXTERNE_POZICIE!$B$41)),0)+IFERROR(SUM(#REF!)*'TCO TO BE- SW'!G$4/'TCO TO BE- SW'!$E$4,0)</f>
        <v>0</v>
      </c>
      <c r="H157" s="574">
        <f>IFERROR(IF((POZICIE_INTERNE!$B$41-12*('TCO TO BE- SW'!$D157-1))&gt;12,((H$4+'TCO TO BE - HW'!H$4)/($E$4+'TCO TO BE - HW'!$E$4)*SUM(POZICIE_INTERNE!$I$41:$I$52))/POZICIE_INTERNE!$B$41*12,IF((POZICIE_INTERNE!$B$41-12*('TCO TO BE- SW'!$D157-1))&lt;0,0,(POZICIE_INTERNE!$B$41-12*('TCO TO BE- SW'!$D157-1))*((H$4+'TCO TO BE - HW'!H$4)/($E$4+'TCO TO BE - HW'!$E$4)*SUM(POZICIE_INTERNE!$I$41:$I$52))/POZICIE_INTERNE!$B$41)),0)+IFERROR(IF((EXTERNE_POZICIE!$B$41-12*('TCO TO BE- SW'!$D157-1))&gt;12,((H$4+'TCO TO BE - HW'!H$4)/($E$4+'TCO TO BE - HW'!$E$4)*SUM(EXTERNE_POZICIE!$M$41:$M$52)*1.23)/EXTERNE_POZICIE!$B$41*12,IF((EXTERNE_POZICIE!$B$41-12*('TCO TO BE- SW'!$D157-1))&lt;0,0,(EXTERNE_POZICIE!$B$41-12*('TCO TO BE- SW'!$D157-1))*((H$4+'TCO TO BE - HW'!H$4)/($E$4+'TCO TO BE - HW'!$E$4)*SUM(EXTERNE_POZICIE!$M$41:$M$52)*1.23)/EXTERNE_POZICIE!$B$41)),0)+IFERROR(SUM(#REF!)*'TCO TO BE- SW'!H$4/'TCO TO BE- SW'!$E$4,0)</f>
        <v>0</v>
      </c>
      <c r="I157" s="574">
        <f>IFERROR(IF((POZICIE_INTERNE!$B$41-12*('TCO TO BE- SW'!$D157-1))&gt;12,((I$4+'TCO TO BE - HW'!I$4)/($E$4+'TCO TO BE - HW'!$E$4)*SUM(POZICIE_INTERNE!$I$41:$I$52))/POZICIE_INTERNE!$B$41*12,IF((POZICIE_INTERNE!$B$41-12*('TCO TO BE- SW'!$D157-1))&lt;0,0,(POZICIE_INTERNE!$B$41-12*('TCO TO BE- SW'!$D157-1))*((I$4+'TCO TO BE - HW'!I$4)/($E$4+'TCO TO BE - HW'!$E$4)*SUM(POZICIE_INTERNE!$I$41:$I$52))/POZICIE_INTERNE!$B$41)),0)+IFERROR(IF((EXTERNE_POZICIE!$B$41-12*('TCO TO BE- SW'!$D157-1))&gt;12,((I$4+'TCO TO BE - HW'!I$4)/($E$4+'TCO TO BE - HW'!$E$4)*SUM(EXTERNE_POZICIE!$M$41:$M$52)*1.23)/EXTERNE_POZICIE!$B$41*12,IF((EXTERNE_POZICIE!$B$41-12*('TCO TO BE- SW'!$D157-1))&lt;0,0,(EXTERNE_POZICIE!$B$41-12*('TCO TO BE- SW'!$D157-1))*((I$4+'TCO TO BE - HW'!I$4)/($E$4+'TCO TO BE - HW'!$E$4)*SUM(EXTERNE_POZICIE!$M$41:$M$52)*1.23)/EXTERNE_POZICIE!$B$41)),0)+IFERROR(SUM(#REF!)*'TCO TO BE- SW'!I$4/'TCO TO BE- SW'!$E$4,0)</f>
        <v>0</v>
      </c>
      <c r="J157" s="574">
        <f>IFERROR(IF((POZICIE_INTERNE!$B$41-12*('TCO TO BE- SW'!$D157-1))&gt;12,((J$4+'TCO TO BE - HW'!J$4)/($E$4+'TCO TO BE - HW'!$E$4)*SUM(POZICIE_INTERNE!$I$41:$I$52))/POZICIE_INTERNE!$B$41*12,IF((POZICIE_INTERNE!$B$41-12*('TCO TO BE- SW'!$D157-1))&lt;0,0,(POZICIE_INTERNE!$B$41-12*('TCO TO BE- SW'!$D157-1))*((J$4+'TCO TO BE - HW'!J$4)/($E$4+'TCO TO BE - HW'!$E$4)*SUM(POZICIE_INTERNE!$I$41:$I$52))/POZICIE_INTERNE!$B$41)),0)+IFERROR(IF((EXTERNE_POZICIE!$B$41-12*('TCO TO BE- SW'!$D157-1))&gt;12,((J$4+'TCO TO BE - HW'!J$4)/($E$4+'TCO TO BE - HW'!$E$4)*SUM(EXTERNE_POZICIE!$M$41:$M$52)*1.23)/EXTERNE_POZICIE!$B$41*12,IF((EXTERNE_POZICIE!$B$41-12*('TCO TO BE- SW'!$D157-1))&lt;0,0,(EXTERNE_POZICIE!$B$41-12*('TCO TO BE- SW'!$D157-1))*((J$4+'TCO TO BE - HW'!J$4)/($E$4+'TCO TO BE - HW'!$E$4)*SUM(EXTERNE_POZICIE!$M$41:$M$52)*1.23)/EXTERNE_POZICIE!$B$41)),0)+IFERROR(SUM(#REF!)*'TCO TO BE- SW'!J$4/'TCO TO BE- SW'!$E$4,0)</f>
        <v>0</v>
      </c>
      <c r="K157" s="574">
        <f>IFERROR(IF((POZICIE_INTERNE!$B$41-12*('TCO TO BE- SW'!$D157-1))&gt;12,((K$4+'TCO TO BE - HW'!K$4)/($E$4+'TCO TO BE - HW'!$E$4)*SUM(POZICIE_INTERNE!$I$41:$I$52))/POZICIE_INTERNE!$B$41*12,IF((POZICIE_INTERNE!$B$41-12*('TCO TO BE- SW'!$D157-1))&lt;0,0,(POZICIE_INTERNE!$B$41-12*('TCO TO BE- SW'!$D157-1))*((K$4+'TCO TO BE - HW'!K$4)/($E$4+'TCO TO BE - HW'!$E$4)*SUM(POZICIE_INTERNE!$I$41:$I$52))/POZICIE_INTERNE!$B$41)),0)+IFERROR(IF((EXTERNE_POZICIE!$B$41-12*('TCO TO BE- SW'!$D157-1))&gt;12,((K$4+'TCO TO BE - HW'!K$4)/($E$4+'TCO TO BE - HW'!$E$4)*SUM(EXTERNE_POZICIE!$M$41:$M$52)*1.23)/EXTERNE_POZICIE!$B$41*12,IF((EXTERNE_POZICIE!$B$41-12*('TCO TO BE- SW'!$D157-1))&lt;0,0,(EXTERNE_POZICIE!$B$41-12*('TCO TO BE- SW'!$D157-1))*((K$4+'TCO TO BE - HW'!K$4)/($E$4+'TCO TO BE - HW'!$E$4)*SUM(EXTERNE_POZICIE!$M$41:$M$52)*1.23)/EXTERNE_POZICIE!$B$41)),0)+IFERROR(SUM(#REF!)*'TCO TO BE- SW'!K$4/'TCO TO BE- SW'!$E$4,0)</f>
        <v>0</v>
      </c>
      <c r="L157" s="574">
        <f>IFERROR(IF((POZICIE_INTERNE!$B$41-12*('TCO TO BE- SW'!$D157-1))&gt;12,((L$4+'TCO TO BE - HW'!L$4)/($E$4+'TCO TO BE - HW'!$E$4)*SUM(POZICIE_INTERNE!$I$41:$I$52))/POZICIE_INTERNE!$B$41*12,IF((POZICIE_INTERNE!$B$41-12*('TCO TO BE- SW'!$D157-1))&lt;0,0,(POZICIE_INTERNE!$B$41-12*('TCO TO BE- SW'!$D157-1))*((L$4+'TCO TO BE - HW'!L$4)/($E$4+'TCO TO BE - HW'!$E$4)*SUM(POZICIE_INTERNE!$I$41:$I$52))/POZICIE_INTERNE!$B$41)),0)+IFERROR(IF((EXTERNE_POZICIE!$B$41-12*('TCO TO BE- SW'!$D157-1))&gt;12,((L$4+'TCO TO BE - HW'!L$4)/($E$4+'TCO TO BE - HW'!$E$4)*SUM(EXTERNE_POZICIE!$M$41:$M$52)*1.23)/EXTERNE_POZICIE!$B$41*12,IF((EXTERNE_POZICIE!$B$41-12*('TCO TO BE- SW'!$D157-1))&lt;0,0,(EXTERNE_POZICIE!$B$41-12*('TCO TO BE- SW'!$D157-1))*((L$4+'TCO TO BE - HW'!L$4)/($E$4+'TCO TO BE - HW'!$E$4)*SUM(EXTERNE_POZICIE!$M$41:$M$52)*1.23)/EXTERNE_POZICIE!$B$41)),0)+IFERROR(SUM(#REF!)*'TCO TO BE- SW'!L$4/'TCO TO BE- SW'!$E$4,0)</f>
        <v>0</v>
      </c>
      <c r="M157" s="574">
        <f>IFERROR(IF((POZICIE_INTERNE!$B$41-12*('TCO TO BE- SW'!$D157-1))&gt;12,((M$4+'TCO TO BE - HW'!M$4)/($E$4+'TCO TO BE - HW'!$E$4)*SUM(POZICIE_INTERNE!$I$41:$I$52))/POZICIE_INTERNE!$B$41*12,IF((POZICIE_INTERNE!$B$41-12*('TCO TO BE- SW'!$D157-1))&lt;0,0,(POZICIE_INTERNE!$B$41-12*('TCO TO BE- SW'!$D157-1))*((M$4+'TCO TO BE - HW'!M$4)/($E$4+'TCO TO BE - HW'!$E$4)*SUM(POZICIE_INTERNE!$I$41:$I$52))/POZICIE_INTERNE!$B$41)),0)+IFERROR(IF((EXTERNE_POZICIE!$B$41-12*('TCO TO BE- SW'!$D157-1))&gt;12,((M$4+'TCO TO BE - HW'!M$4)/($E$4+'TCO TO BE - HW'!$E$4)*SUM(EXTERNE_POZICIE!$M$41:$M$52)*1.23)/EXTERNE_POZICIE!$B$41*12,IF((EXTERNE_POZICIE!$B$41-12*('TCO TO BE- SW'!$D157-1))&lt;0,0,(EXTERNE_POZICIE!$B$41-12*('TCO TO BE- SW'!$D157-1))*((M$4+'TCO TO BE - HW'!M$4)/($E$4+'TCO TO BE - HW'!$E$4)*SUM(EXTERNE_POZICIE!$M$41:$M$52)*1.23)/EXTERNE_POZICIE!$B$41)),0)+IFERROR(SUM(#REF!)*'TCO TO BE- SW'!M$4/'TCO TO BE- SW'!$E$4,0)</f>
        <v>0</v>
      </c>
      <c r="N157" s="574">
        <f>IFERROR(IF((POZICIE_INTERNE!$B$41-12*('TCO TO BE- SW'!$D157-1))&gt;12,((N$4+'TCO TO BE - HW'!N$4)/($E$4+'TCO TO BE - HW'!$E$4)*SUM(POZICIE_INTERNE!$I$41:$I$52))/POZICIE_INTERNE!$B$41*12,IF((POZICIE_INTERNE!$B$41-12*('TCO TO BE- SW'!$D157-1))&lt;0,0,(POZICIE_INTERNE!$B$41-12*('TCO TO BE- SW'!$D157-1))*((N$4+'TCO TO BE - HW'!N$4)/($E$4+'TCO TO BE - HW'!$E$4)*SUM(POZICIE_INTERNE!$I$41:$I$52))/POZICIE_INTERNE!$B$41)),0)+IFERROR(IF((EXTERNE_POZICIE!$B$41-12*('TCO TO BE- SW'!$D157-1))&gt;12,((N$4+'TCO TO BE - HW'!N$4)/($E$4+'TCO TO BE - HW'!$E$4)*SUM(EXTERNE_POZICIE!$M$41:$M$52)*1.23)/EXTERNE_POZICIE!$B$41*12,IF((EXTERNE_POZICIE!$B$41-12*('TCO TO BE- SW'!$D157-1))&lt;0,0,(EXTERNE_POZICIE!$B$41-12*('TCO TO BE- SW'!$D157-1))*((N$4+'TCO TO BE - HW'!N$4)/($E$4+'TCO TO BE - HW'!$E$4)*SUM(EXTERNE_POZICIE!$M$41:$M$52)*1.23)/EXTERNE_POZICIE!$B$41)),0)+IFERROR(SUM(#REF!)*'TCO TO BE- SW'!N$4/'TCO TO BE- SW'!$E$4,0)</f>
        <v>0</v>
      </c>
      <c r="O157" s="574">
        <f>IFERROR(IF((POZICIE_INTERNE!$B$41-12*('TCO TO BE- SW'!$D157-1))&gt;12,((O$4+'TCO TO BE - HW'!O$4)/($E$4+'TCO TO BE - HW'!$E$4)*SUM(POZICIE_INTERNE!$I$41:$I$52))/POZICIE_INTERNE!$B$41*12,IF((POZICIE_INTERNE!$B$41-12*('TCO TO BE- SW'!$D157-1))&lt;0,0,(POZICIE_INTERNE!$B$41-12*('TCO TO BE- SW'!$D157-1))*((O$4+'TCO TO BE - HW'!O$4)/($E$4+'TCO TO BE - HW'!$E$4)*SUM(POZICIE_INTERNE!$I$41:$I$52))/POZICIE_INTERNE!$B$41)),0)+IFERROR(IF((EXTERNE_POZICIE!$B$41-12*('TCO TO BE- SW'!$D157-1))&gt;12,((O$4+'TCO TO BE - HW'!O$4)/($E$4+'TCO TO BE - HW'!$E$4)*SUM(EXTERNE_POZICIE!$M$41:$M$52)*1.23)/EXTERNE_POZICIE!$B$41*12,IF((EXTERNE_POZICIE!$B$41-12*('TCO TO BE- SW'!$D157-1))&lt;0,0,(EXTERNE_POZICIE!$B$41-12*('TCO TO BE- SW'!$D157-1))*((O$4+'TCO TO BE - HW'!O$4)/($E$4+'TCO TO BE - HW'!$E$4)*SUM(EXTERNE_POZICIE!$M$41:$M$52)*1.23)/EXTERNE_POZICIE!$B$41)),0)+IFERROR(SUM(#REF!)*'TCO TO BE- SW'!O$4/'TCO TO BE- SW'!$E$4,0)</f>
        <v>0</v>
      </c>
      <c r="P157" s="574">
        <f>IFERROR(IF((POZICIE_INTERNE!$B$41-12*('TCO TO BE- SW'!$D157-1))&gt;12,((P$4+'TCO TO BE - HW'!P$4)/($E$4+'TCO TO BE - HW'!$E$4)*SUM(POZICIE_INTERNE!$I$41:$I$52))/POZICIE_INTERNE!$B$41*12,IF((POZICIE_INTERNE!$B$41-12*('TCO TO BE- SW'!$D157-1))&lt;0,0,(POZICIE_INTERNE!$B$41-12*('TCO TO BE- SW'!$D157-1))*((P$4+'TCO TO BE - HW'!P$4)/($E$4+'TCO TO BE - HW'!$E$4)*SUM(POZICIE_INTERNE!$I$41:$I$52))/POZICIE_INTERNE!$B$41)),0)+IFERROR(IF((EXTERNE_POZICIE!$B$41-12*('TCO TO BE- SW'!$D157-1))&gt;12,((P$4+'TCO TO BE - HW'!P$4)/($E$4+'TCO TO BE - HW'!$E$4)*SUM(EXTERNE_POZICIE!$M$41:$M$52)*1.23)/EXTERNE_POZICIE!$B$41*12,IF((EXTERNE_POZICIE!$B$41-12*('TCO TO BE- SW'!$D157-1))&lt;0,0,(EXTERNE_POZICIE!$B$41-12*('TCO TO BE- SW'!$D157-1))*((P$4+'TCO TO BE - HW'!P$4)/($E$4+'TCO TO BE - HW'!$E$4)*SUM(EXTERNE_POZICIE!$M$41:$M$52)*1.23)/EXTERNE_POZICIE!$B$41)),0)+IFERROR(SUM(#REF!)*'TCO TO BE- SW'!P$4/'TCO TO BE- SW'!$E$4,0)</f>
        <v>0</v>
      </c>
      <c r="Q157" s="574">
        <f>IFERROR(IF((POZICIE_INTERNE!$B$41-12*('TCO TO BE- SW'!$D157-1))&gt;12,((Q$4+'TCO TO BE - HW'!Q$4)/($E$4+'TCO TO BE - HW'!$E$4)*SUM(POZICIE_INTERNE!$I$41:$I$52))/POZICIE_INTERNE!$B$41*12,IF((POZICIE_INTERNE!$B$41-12*('TCO TO BE- SW'!$D157-1))&lt;0,0,(POZICIE_INTERNE!$B$41-12*('TCO TO BE- SW'!$D157-1))*((Q$4+'TCO TO BE - HW'!Q$4)/($E$4+'TCO TO BE - HW'!$E$4)*SUM(POZICIE_INTERNE!$I$41:$I$52))/POZICIE_INTERNE!$B$41)),0)+IFERROR(IF((EXTERNE_POZICIE!$B$41-12*('TCO TO BE- SW'!$D157-1))&gt;12,((Q$4+'TCO TO BE - HW'!Q$4)/($E$4+'TCO TO BE - HW'!$E$4)*SUM(EXTERNE_POZICIE!$M$41:$M$52)*1.23)/EXTERNE_POZICIE!$B$41*12,IF((EXTERNE_POZICIE!$B$41-12*('TCO TO BE- SW'!$D157-1))&lt;0,0,(EXTERNE_POZICIE!$B$41-12*('TCO TO BE- SW'!$D157-1))*((Q$4+'TCO TO BE - HW'!Q$4)/($E$4+'TCO TO BE - HW'!$E$4)*SUM(EXTERNE_POZICIE!$M$41:$M$52)*1.23)/EXTERNE_POZICIE!$B$41)),0)+IFERROR(SUM(#REF!)*'TCO TO BE- SW'!Q$4/'TCO TO BE- SW'!$E$4,0)</f>
        <v>0</v>
      </c>
      <c r="R157" s="574">
        <f>IFERROR(IF((POZICIE_INTERNE!$B$41-12*('TCO TO BE- SW'!$D157-1))&gt;12,((R$4+'TCO TO BE - HW'!R$4)/($E$4+'TCO TO BE - HW'!$E$4)*SUM(POZICIE_INTERNE!$I$41:$I$52))/POZICIE_INTERNE!$B$41*12,IF((POZICIE_INTERNE!$B$41-12*('TCO TO BE- SW'!$D157-1))&lt;0,0,(POZICIE_INTERNE!$B$41-12*('TCO TO BE- SW'!$D157-1))*((R$4+'TCO TO BE - HW'!R$4)/($E$4+'TCO TO BE - HW'!$E$4)*SUM(POZICIE_INTERNE!$I$41:$I$52))/POZICIE_INTERNE!$B$41)),0)+IFERROR(IF((EXTERNE_POZICIE!$B$41-12*('TCO TO BE- SW'!$D157-1))&gt;12,((R$4+'TCO TO BE - HW'!R$4)/($E$4+'TCO TO BE - HW'!$E$4)*SUM(EXTERNE_POZICIE!$M$41:$M$52)*1.23)/EXTERNE_POZICIE!$B$41*12,IF((EXTERNE_POZICIE!$B$41-12*('TCO TO BE- SW'!$D157-1))&lt;0,0,(EXTERNE_POZICIE!$B$41-12*('TCO TO BE- SW'!$D157-1))*((R$4+'TCO TO BE - HW'!R$4)/($E$4+'TCO TO BE - HW'!$E$4)*SUM(EXTERNE_POZICIE!$M$41:$M$52)*1.23)/EXTERNE_POZICIE!$B$41)),0)+IFERROR(SUM(#REF!)*'TCO TO BE- SW'!R$4/'TCO TO BE- SW'!$E$4,0)</f>
        <v>0</v>
      </c>
      <c r="S157" s="574">
        <f>IFERROR(IF((POZICIE_INTERNE!$B$41-12*('TCO TO BE- SW'!$D157-1))&gt;12,((S$4+'TCO TO BE - HW'!S$4)/($E$4+'TCO TO BE - HW'!$E$4)*SUM(POZICIE_INTERNE!$I$41:$I$52))/POZICIE_INTERNE!$B$41*12,IF((POZICIE_INTERNE!$B$41-12*('TCO TO BE- SW'!$D157-1))&lt;0,0,(POZICIE_INTERNE!$B$41-12*('TCO TO BE- SW'!$D157-1))*((S$4+'TCO TO BE - HW'!S$4)/($E$4+'TCO TO BE - HW'!$E$4)*SUM(POZICIE_INTERNE!$I$41:$I$52))/POZICIE_INTERNE!$B$41)),0)+IFERROR(IF((EXTERNE_POZICIE!$B$41-12*('TCO TO BE- SW'!$D157-1))&gt;12,((S$4+'TCO TO BE - HW'!S$4)/($E$4+'TCO TO BE - HW'!$E$4)*SUM(EXTERNE_POZICIE!$M$41:$M$52)*1.23)/EXTERNE_POZICIE!$B$41*12,IF((EXTERNE_POZICIE!$B$41-12*('TCO TO BE- SW'!$D157-1))&lt;0,0,(EXTERNE_POZICIE!$B$41-12*('TCO TO BE- SW'!$D157-1))*((S$4+'TCO TO BE - HW'!S$4)/($E$4+'TCO TO BE - HW'!$E$4)*SUM(EXTERNE_POZICIE!$M$41:$M$52)*1.23)/EXTERNE_POZICIE!$B$41)),0)+IFERROR(SUM(#REF!)*'TCO TO BE- SW'!S$4/'TCO TO BE- SW'!$E$4,0)</f>
        <v>0</v>
      </c>
      <c r="T157" s="574">
        <f>IFERROR(IF((POZICIE_INTERNE!$B$41-12*('TCO TO BE- SW'!$D157-1))&gt;12,((T$4+'TCO TO BE - HW'!T$4)/($E$4+'TCO TO BE - HW'!$E$4)*SUM(POZICIE_INTERNE!$I$41:$I$52))/POZICIE_INTERNE!$B$41*12,IF((POZICIE_INTERNE!$B$41-12*('TCO TO BE- SW'!$D157-1))&lt;0,0,(POZICIE_INTERNE!$B$41-12*('TCO TO BE- SW'!$D157-1))*((T$4+'TCO TO BE - HW'!T$4)/($E$4+'TCO TO BE - HW'!$E$4)*SUM(POZICIE_INTERNE!$I$41:$I$52))/POZICIE_INTERNE!$B$41)),0)+IFERROR(IF((EXTERNE_POZICIE!$B$41-12*('TCO TO BE- SW'!$D157-1))&gt;12,((T$4+'TCO TO BE - HW'!T$4)/($E$4+'TCO TO BE - HW'!$E$4)*SUM(EXTERNE_POZICIE!$M$41:$M$52)*1.23)/EXTERNE_POZICIE!$B$41*12,IF((EXTERNE_POZICIE!$B$41-12*('TCO TO BE- SW'!$D157-1))&lt;0,0,(EXTERNE_POZICIE!$B$41-12*('TCO TO BE- SW'!$D157-1))*((T$4+'TCO TO BE - HW'!T$4)/($E$4+'TCO TO BE - HW'!$E$4)*SUM(EXTERNE_POZICIE!$M$41:$M$52)*1.23)/EXTERNE_POZICIE!$B$41)),0)+IFERROR(SUM(#REF!)*'TCO TO BE- SW'!T$4/'TCO TO BE- SW'!$E$4,0)</f>
        <v>0</v>
      </c>
      <c r="U157" s="574">
        <f>IFERROR(IF((POZICIE_INTERNE!$B$41-12*('TCO TO BE- SW'!$D157-1))&gt;12,((U$4+'TCO TO BE - HW'!U$4)/($E$4+'TCO TO BE - HW'!$E$4)*SUM(POZICIE_INTERNE!$I$41:$I$52))/POZICIE_INTERNE!$B$41*12,IF((POZICIE_INTERNE!$B$41-12*('TCO TO BE- SW'!$D157-1))&lt;0,0,(POZICIE_INTERNE!$B$41-12*('TCO TO BE- SW'!$D157-1))*((U$4+'TCO TO BE - HW'!U$4)/($E$4+'TCO TO BE - HW'!$E$4)*SUM(POZICIE_INTERNE!$I$41:$I$52))/POZICIE_INTERNE!$B$41)),0)+IFERROR(IF((EXTERNE_POZICIE!$B$41-12*('TCO TO BE- SW'!$D157-1))&gt;12,((U$4+'TCO TO BE - HW'!U$4)/($E$4+'TCO TO BE - HW'!$E$4)*SUM(EXTERNE_POZICIE!$M$41:$M$52)*1.23)/EXTERNE_POZICIE!$B$41*12,IF((EXTERNE_POZICIE!$B$41-12*('TCO TO BE- SW'!$D157-1))&lt;0,0,(EXTERNE_POZICIE!$B$41-12*('TCO TO BE- SW'!$D157-1))*((U$4+'TCO TO BE - HW'!U$4)/($E$4+'TCO TO BE - HW'!$E$4)*SUM(EXTERNE_POZICIE!$M$41:$M$52)*1.23)/EXTERNE_POZICIE!$B$41)),0)+IFERROR(SUM(#REF!)*'TCO TO BE- SW'!U$4/'TCO TO BE- SW'!$E$4,0)</f>
        <v>0</v>
      </c>
      <c r="V157" s="574">
        <f>IFERROR(IF((POZICIE_INTERNE!$B$41-12*('TCO TO BE- SW'!$D157-1))&gt;12,((V$4+'TCO TO BE - HW'!V$4)/($E$4+'TCO TO BE - HW'!$E$4)*SUM(POZICIE_INTERNE!$I$41:$I$52))/POZICIE_INTERNE!$B$41*12,IF((POZICIE_INTERNE!$B$41-12*('TCO TO BE- SW'!$D157-1))&lt;0,0,(POZICIE_INTERNE!$B$41-12*('TCO TO BE- SW'!$D157-1))*((V$4+'TCO TO BE - HW'!V$4)/($E$4+'TCO TO BE - HW'!$E$4)*SUM(POZICIE_INTERNE!$I$41:$I$52))/POZICIE_INTERNE!$B$41)),0)+IFERROR(IF((EXTERNE_POZICIE!$B$41-12*('TCO TO BE- SW'!$D157-1))&gt;12,((V$4+'TCO TO BE - HW'!V$4)/($E$4+'TCO TO BE - HW'!$E$4)*SUM(EXTERNE_POZICIE!$M$41:$M$52)*1.23)/EXTERNE_POZICIE!$B$41*12,IF((EXTERNE_POZICIE!$B$41-12*('TCO TO BE- SW'!$D157-1))&lt;0,0,(EXTERNE_POZICIE!$B$41-12*('TCO TO BE- SW'!$D157-1))*((V$4+'TCO TO BE - HW'!V$4)/($E$4+'TCO TO BE - HW'!$E$4)*SUM(EXTERNE_POZICIE!$M$41:$M$52)*1.23)/EXTERNE_POZICIE!$B$41)),0)+IFERROR(SUM(#REF!)*'TCO TO BE- SW'!V$4/'TCO TO BE- SW'!$E$4,0)</f>
        <v>0</v>
      </c>
      <c r="W157" s="574">
        <f>IFERROR(IF((POZICIE_INTERNE!$B$41-12*('TCO TO BE- SW'!$D157-1))&gt;12,((W$4+'TCO TO BE - HW'!W$4)/($E$4+'TCO TO BE - HW'!$E$4)*SUM(POZICIE_INTERNE!$I$41:$I$52))/POZICIE_INTERNE!$B$41*12,IF((POZICIE_INTERNE!$B$41-12*('TCO TO BE- SW'!$D157-1))&lt;0,0,(POZICIE_INTERNE!$B$41-12*('TCO TO BE- SW'!$D157-1))*((W$4+'TCO TO BE - HW'!W$4)/($E$4+'TCO TO BE - HW'!$E$4)*SUM(POZICIE_INTERNE!$I$41:$I$52))/POZICIE_INTERNE!$B$41)),0)+IFERROR(IF((EXTERNE_POZICIE!$B$41-12*('TCO TO BE- SW'!$D157-1))&gt;12,((W$4+'TCO TO BE - HW'!W$4)/($E$4+'TCO TO BE - HW'!$E$4)*SUM(EXTERNE_POZICIE!$M$41:$M$52)*1.23)/EXTERNE_POZICIE!$B$41*12,IF((EXTERNE_POZICIE!$B$41-12*('TCO TO BE- SW'!$D157-1))&lt;0,0,(EXTERNE_POZICIE!$B$41-12*('TCO TO BE- SW'!$D157-1))*((W$4+'TCO TO BE - HW'!W$4)/($E$4+'TCO TO BE - HW'!$E$4)*SUM(EXTERNE_POZICIE!$M$41:$M$52)*1.23)/EXTERNE_POZICIE!$B$41)),0)+IFERROR(SUM(#REF!)*'TCO TO BE- SW'!W$4/'TCO TO BE- SW'!$E$4,0)</f>
        <v>0</v>
      </c>
      <c r="X157" s="574">
        <f>IFERROR(IF((POZICIE_INTERNE!$B$41-12*('TCO TO BE- SW'!$D157-1))&gt;12,((X$4+'TCO TO BE - HW'!X$4)/($E$4+'TCO TO BE - HW'!$E$4)*SUM(POZICIE_INTERNE!$I$41:$I$52))/POZICIE_INTERNE!$B$41*12,IF((POZICIE_INTERNE!$B$41-12*('TCO TO BE- SW'!$D157-1))&lt;0,0,(POZICIE_INTERNE!$B$41-12*('TCO TO BE- SW'!$D157-1))*((X$4+'TCO TO BE - HW'!X$4)/($E$4+'TCO TO BE - HW'!$E$4)*SUM(POZICIE_INTERNE!$I$41:$I$52))/POZICIE_INTERNE!$B$41)),0)+IFERROR(IF((EXTERNE_POZICIE!$B$41-12*('TCO TO BE- SW'!$D157-1))&gt;12,((X$4+'TCO TO BE - HW'!X$4)/($E$4+'TCO TO BE - HW'!$E$4)*SUM(EXTERNE_POZICIE!$M$41:$M$52)*1.23)/EXTERNE_POZICIE!$B$41*12,IF((EXTERNE_POZICIE!$B$41-12*('TCO TO BE- SW'!$D157-1))&lt;0,0,(EXTERNE_POZICIE!$B$41-12*('TCO TO BE- SW'!$D157-1))*((X$4+'TCO TO BE - HW'!X$4)/($E$4+'TCO TO BE - HW'!$E$4)*SUM(EXTERNE_POZICIE!$M$41:$M$52)*1.23)/EXTERNE_POZICIE!$B$41)),0)+IFERROR(SUM(#REF!)*'TCO TO BE- SW'!X$4/'TCO TO BE- SW'!$E$4,0)</f>
        <v>0</v>
      </c>
      <c r="Y157" s="574">
        <f>IFERROR(IF((POZICIE_INTERNE!$B$41-12*('TCO TO BE- SW'!$D157-1))&gt;12,((Y$4+'TCO TO BE - HW'!Y$4)/($E$4+'TCO TO BE - HW'!$E$4)*SUM(POZICIE_INTERNE!$I$41:$I$52))/POZICIE_INTERNE!$B$41*12,IF((POZICIE_INTERNE!$B$41-12*('TCO TO BE- SW'!$D157-1))&lt;0,0,(POZICIE_INTERNE!$B$41-12*('TCO TO BE- SW'!$D157-1))*((Y$4+'TCO TO BE - HW'!Y$4)/($E$4+'TCO TO BE - HW'!$E$4)*SUM(POZICIE_INTERNE!$I$41:$I$52))/POZICIE_INTERNE!$B$41)),0)+IFERROR(IF((EXTERNE_POZICIE!$B$41-12*('TCO TO BE- SW'!$D157-1))&gt;12,((Y$4+'TCO TO BE - HW'!Y$4)/($E$4+'TCO TO BE - HW'!$E$4)*SUM(EXTERNE_POZICIE!$M$41:$M$52)*1.23)/EXTERNE_POZICIE!$B$41*12,IF((EXTERNE_POZICIE!$B$41-12*('TCO TO BE- SW'!$D157-1))&lt;0,0,(EXTERNE_POZICIE!$B$41-12*('TCO TO BE- SW'!$D157-1))*((Y$4+'TCO TO BE - HW'!Y$4)/($E$4+'TCO TO BE - HW'!$E$4)*SUM(EXTERNE_POZICIE!$M$41:$M$52)*1.23)/EXTERNE_POZICIE!$B$41)),0)+IFERROR(SUM(#REF!)*'TCO TO BE- SW'!Y$4/'TCO TO BE- SW'!$E$4,0)</f>
        <v>0</v>
      </c>
      <c r="Z157" s="574">
        <f>IFERROR(IF((POZICIE_INTERNE!$B$41-12*('TCO TO BE- SW'!$D157-1))&gt;12,((Z$4+'TCO TO BE - HW'!Z$4)/($E$4+'TCO TO BE - HW'!$E$4)*SUM(POZICIE_INTERNE!$I$41:$I$52))/POZICIE_INTERNE!$B$41*12,IF((POZICIE_INTERNE!$B$41-12*('TCO TO BE- SW'!$D157-1))&lt;0,0,(POZICIE_INTERNE!$B$41-12*('TCO TO BE- SW'!$D157-1))*((Z$4+'TCO TO BE - HW'!Z$4)/($E$4+'TCO TO BE - HW'!$E$4)*SUM(POZICIE_INTERNE!$I$41:$I$52))/POZICIE_INTERNE!$B$41)),0)+IFERROR(IF((EXTERNE_POZICIE!$B$41-12*('TCO TO BE- SW'!$D157-1))&gt;12,((Z$4+'TCO TO BE - HW'!Z$4)/($E$4+'TCO TO BE - HW'!$E$4)*SUM(EXTERNE_POZICIE!$M$41:$M$52)*1.23)/EXTERNE_POZICIE!$B$41*12,IF((EXTERNE_POZICIE!$B$41-12*('TCO TO BE- SW'!$D157-1))&lt;0,0,(EXTERNE_POZICIE!$B$41-12*('TCO TO BE- SW'!$D157-1))*((Z$4+'TCO TO BE - HW'!Z$4)/($E$4+'TCO TO BE - HW'!$E$4)*SUM(EXTERNE_POZICIE!$M$41:$M$52)*1.23)/EXTERNE_POZICIE!$B$41)),0)+IFERROR(SUM(#REF!)*'TCO TO BE- SW'!Z$4/'TCO TO BE- SW'!$E$4,0)</f>
        <v>0</v>
      </c>
    </row>
    <row r="158" spans="1:26">
      <c r="A158" s="817"/>
      <c r="B158" s="818"/>
      <c r="C158" s="818"/>
      <c r="D158" s="64">
        <v>8</v>
      </c>
      <c r="E158" s="68">
        <f t="shared" si="16"/>
        <v>0</v>
      </c>
      <c r="F158" s="574">
        <f>IFERROR(IF((POZICIE_INTERNE!$B$41-12*('TCO TO BE- SW'!$D158-1))&gt;12,((F$4+'TCO TO BE - HW'!F$4)/($E$4+'TCO TO BE - HW'!$E$4)*SUM(POZICIE_INTERNE!$I$41:$I$52))/POZICIE_INTERNE!$B$41*12,IF((POZICIE_INTERNE!$B$41-12*('TCO TO BE- SW'!$D158-1))&lt;0,0,(POZICIE_INTERNE!$B$41-12*('TCO TO BE- SW'!$D158-1))*((F$4+'TCO TO BE - HW'!F$4)/($E$4+'TCO TO BE - HW'!$E$4)*SUM(POZICIE_INTERNE!$I$41:$I$52))/POZICIE_INTERNE!$B$41)),0)+IFERROR(IF((EXTERNE_POZICIE!$B$41-12*('TCO TO BE- SW'!$D158-1))&gt;12,((F$4+'TCO TO BE - HW'!F$4)/($E$4+'TCO TO BE - HW'!$E$4)*SUM(EXTERNE_POZICIE!$M$41:$M$52)*1.23)/EXTERNE_POZICIE!$B$41*12,IF((EXTERNE_POZICIE!$B$41-12*('TCO TO BE- SW'!$D158-1))&lt;0,0,(EXTERNE_POZICIE!$B$41-12*('TCO TO BE- SW'!$D158-1))*((F$4+'TCO TO BE - HW'!F$4)/($E$4+'TCO TO BE - HW'!$E$4)*SUM(EXTERNE_POZICIE!$M$41:$M$52)*1.23)/EXTERNE_POZICIE!$B$41)),0)+IFERROR(SUM(#REF!)*'TCO TO BE- SW'!F$4/'TCO TO BE- SW'!$E$4,0)</f>
        <v>0</v>
      </c>
      <c r="G158" s="574">
        <f>IFERROR(IF((POZICIE_INTERNE!$B$41-12*('TCO TO BE- SW'!$D158-1))&gt;12,((G$4+'TCO TO BE - HW'!G$4)/($E$4+'TCO TO BE - HW'!$E$4)*SUM(POZICIE_INTERNE!$I$41:$I$52))/POZICIE_INTERNE!$B$41*12,IF((POZICIE_INTERNE!$B$41-12*('TCO TO BE- SW'!$D158-1))&lt;0,0,(POZICIE_INTERNE!$B$41-12*('TCO TO BE- SW'!$D158-1))*((G$4+'TCO TO BE - HW'!G$4)/($E$4+'TCO TO BE - HW'!$E$4)*SUM(POZICIE_INTERNE!$I$41:$I$52))/POZICIE_INTERNE!$B$41)),0)+IFERROR(IF((EXTERNE_POZICIE!$B$41-12*('TCO TO BE- SW'!$D158-1))&gt;12,((G$4+'TCO TO BE - HW'!G$4)/($E$4+'TCO TO BE - HW'!$E$4)*SUM(EXTERNE_POZICIE!$M$41:$M$52)*1.23)/EXTERNE_POZICIE!$B$41*12,IF((EXTERNE_POZICIE!$B$41-12*('TCO TO BE- SW'!$D158-1))&lt;0,0,(EXTERNE_POZICIE!$B$41-12*('TCO TO BE- SW'!$D158-1))*((G$4+'TCO TO BE - HW'!G$4)/($E$4+'TCO TO BE - HW'!$E$4)*SUM(EXTERNE_POZICIE!$M$41:$M$52)*1.23)/EXTERNE_POZICIE!$B$41)),0)+IFERROR(SUM(#REF!)*'TCO TO BE- SW'!G$4/'TCO TO BE- SW'!$E$4,0)</f>
        <v>0</v>
      </c>
      <c r="H158" s="574">
        <f>IFERROR(IF((POZICIE_INTERNE!$B$41-12*('TCO TO BE- SW'!$D158-1))&gt;12,((H$4+'TCO TO BE - HW'!H$4)/($E$4+'TCO TO BE - HW'!$E$4)*SUM(POZICIE_INTERNE!$I$41:$I$52))/POZICIE_INTERNE!$B$41*12,IF((POZICIE_INTERNE!$B$41-12*('TCO TO BE- SW'!$D158-1))&lt;0,0,(POZICIE_INTERNE!$B$41-12*('TCO TO BE- SW'!$D158-1))*((H$4+'TCO TO BE - HW'!H$4)/($E$4+'TCO TO BE - HW'!$E$4)*SUM(POZICIE_INTERNE!$I$41:$I$52))/POZICIE_INTERNE!$B$41)),0)+IFERROR(IF((EXTERNE_POZICIE!$B$41-12*('TCO TO BE- SW'!$D158-1))&gt;12,((H$4+'TCO TO BE - HW'!H$4)/($E$4+'TCO TO BE - HW'!$E$4)*SUM(EXTERNE_POZICIE!$M$41:$M$52)*1.23)/EXTERNE_POZICIE!$B$41*12,IF((EXTERNE_POZICIE!$B$41-12*('TCO TO BE- SW'!$D158-1))&lt;0,0,(EXTERNE_POZICIE!$B$41-12*('TCO TO BE- SW'!$D158-1))*((H$4+'TCO TO BE - HW'!H$4)/($E$4+'TCO TO BE - HW'!$E$4)*SUM(EXTERNE_POZICIE!$M$41:$M$52)*1.23)/EXTERNE_POZICIE!$B$41)),0)+IFERROR(SUM(#REF!)*'TCO TO BE- SW'!H$4/'TCO TO BE- SW'!$E$4,0)</f>
        <v>0</v>
      </c>
      <c r="I158" s="574">
        <f>IFERROR(IF((POZICIE_INTERNE!$B$41-12*('TCO TO BE- SW'!$D158-1))&gt;12,((I$4+'TCO TO BE - HW'!I$4)/($E$4+'TCO TO BE - HW'!$E$4)*SUM(POZICIE_INTERNE!$I$41:$I$52))/POZICIE_INTERNE!$B$41*12,IF((POZICIE_INTERNE!$B$41-12*('TCO TO BE- SW'!$D158-1))&lt;0,0,(POZICIE_INTERNE!$B$41-12*('TCO TO BE- SW'!$D158-1))*((I$4+'TCO TO BE - HW'!I$4)/($E$4+'TCO TO BE - HW'!$E$4)*SUM(POZICIE_INTERNE!$I$41:$I$52))/POZICIE_INTERNE!$B$41)),0)+IFERROR(IF((EXTERNE_POZICIE!$B$41-12*('TCO TO BE- SW'!$D158-1))&gt;12,((I$4+'TCO TO BE - HW'!I$4)/($E$4+'TCO TO BE - HW'!$E$4)*SUM(EXTERNE_POZICIE!$M$41:$M$52)*1.23)/EXTERNE_POZICIE!$B$41*12,IF((EXTERNE_POZICIE!$B$41-12*('TCO TO BE- SW'!$D158-1))&lt;0,0,(EXTERNE_POZICIE!$B$41-12*('TCO TO BE- SW'!$D158-1))*((I$4+'TCO TO BE - HW'!I$4)/($E$4+'TCO TO BE - HW'!$E$4)*SUM(EXTERNE_POZICIE!$M$41:$M$52)*1.23)/EXTERNE_POZICIE!$B$41)),0)+IFERROR(SUM(#REF!)*'TCO TO BE- SW'!I$4/'TCO TO BE- SW'!$E$4,0)</f>
        <v>0</v>
      </c>
      <c r="J158" s="574">
        <f>IFERROR(IF((POZICIE_INTERNE!$B$41-12*('TCO TO BE- SW'!$D158-1))&gt;12,((J$4+'TCO TO BE - HW'!J$4)/($E$4+'TCO TO BE - HW'!$E$4)*SUM(POZICIE_INTERNE!$I$41:$I$52))/POZICIE_INTERNE!$B$41*12,IF((POZICIE_INTERNE!$B$41-12*('TCO TO BE- SW'!$D158-1))&lt;0,0,(POZICIE_INTERNE!$B$41-12*('TCO TO BE- SW'!$D158-1))*((J$4+'TCO TO BE - HW'!J$4)/($E$4+'TCO TO BE - HW'!$E$4)*SUM(POZICIE_INTERNE!$I$41:$I$52))/POZICIE_INTERNE!$B$41)),0)+IFERROR(IF((EXTERNE_POZICIE!$B$41-12*('TCO TO BE- SW'!$D158-1))&gt;12,((J$4+'TCO TO BE - HW'!J$4)/($E$4+'TCO TO BE - HW'!$E$4)*SUM(EXTERNE_POZICIE!$M$41:$M$52)*1.23)/EXTERNE_POZICIE!$B$41*12,IF((EXTERNE_POZICIE!$B$41-12*('TCO TO BE- SW'!$D158-1))&lt;0,0,(EXTERNE_POZICIE!$B$41-12*('TCO TO BE- SW'!$D158-1))*((J$4+'TCO TO BE - HW'!J$4)/($E$4+'TCO TO BE - HW'!$E$4)*SUM(EXTERNE_POZICIE!$M$41:$M$52)*1.23)/EXTERNE_POZICIE!$B$41)),0)+IFERROR(SUM(#REF!)*'TCO TO BE- SW'!J$4/'TCO TO BE- SW'!$E$4,0)</f>
        <v>0</v>
      </c>
      <c r="K158" s="574">
        <f>IFERROR(IF((POZICIE_INTERNE!$B$41-12*('TCO TO BE- SW'!$D158-1))&gt;12,((K$4+'TCO TO BE - HW'!K$4)/($E$4+'TCO TO BE - HW'!$E$4)*SUM(POZICIE_INTERNE!$I$41:$I$52))/POZICIE_INTERNE!$B$41*12,IF((POZICIE_INTERNE!$B$41-12*('TCO TO BE- SW'!$D158-1))&lt;0,0,(POZICIE_INTERNE!$B$41-12*('TCO TO BE- SW'!$D158-1))*((K$4+'TCO TO BE - HW'!K$4)/($E$4+'TCO TO BE - HW'!$E$4)*SUM(POZICIE_INTERNE!$I$41:$I$52))/POZICIE_INTERNE!$B$41)),0)+IFERROR(IF((EXTERNE_POZICIE!$B$41-12*('TCO TO BE- SW'!$D158-1))&gt;12,((K$4+'TCO TO BE - HW'!K$4)/($E$4+'TCO TO BE - HW'!$E$4)*SUM(EXTERNE_POZICIE!$M$41:$M$52)*1.23)/EXTERNE_POZICIE!$B$41*12,IF((EXTERNE_POZICIE!$B$41-12*('TCO TO BE- SW'!$D158-1))&lt;0,0,(EXTERNE_POZICIE!$B$41-12*('TCO TO BE- SW'!$D158-1))*((K$4+'TCO TO BE - HW'!K$4)/($E$4+'TCO TO BE - HW'!$E$4)*SUM(EXTERNE_POZICIE!$M$41:$M$52)*1.23)/EXTERNE_POZICIE!$B$41)),0)+IFERROR(SUM(#REF!)*'TCO TO BE- SW'!K$4/'TCO TO BE- SW'!$E$4,0)</f>
        <v>0</v>
      </c>
      <c r="L158" s="574">
        <f>IFERROR(IF((POZICIE_INTERNE!$B$41-12*('TCO TO BE- SW'!$D158-1))&gt;12,((L$4+'TCO TO BE - HW'!L$4)/($E$4+'TCO TO BE - HW'!$E$4)*SUM(POZICIE_INTERNE!$I$41:$I$52))/POZICIE_INTERNE!$B$41*12,IF((POZICIE_INTERNE!$B$41-12*('TCO TO BE- SW'!$D158-1))&lt;0,0,(POZICIE_INTERNE!$B$41-12*('TCO TO BE- SW'!$D158-1))*((L$4+'TCO TO BE - HW'!L$4)/($E$4+'TCO TO BE - HW'!$E$4)*SUM(POZICIE_INTERNE!$I$41:$I$52))/POZICIE_INTERNE!$B$41)),0)+IFERROR(IF((EXTERNE_POZICIE!$B$41-12*('TCO TO BE- SW'!$D158-1))&gt;12,((L$4+'TCO TO BE - HW'!L$4)/($E$4+'TCO TO BE - HW'!$E$4)*SUM(EXTERNE_POZICIE!$M$41:$M$52)*1.23)/EXTERNE_POZICIE!$B$41*12,IF((EXTERNE_POZICIE!$B$41-12*('TCO TO BE- SW'!$D158-1))&lt;0,0,(EXTERNE_POZICIE!$B$41-12*('TCO TO BE- SW'!$D158-1))*((L$4+'TCO TO BE - HW'!L$4)/($E$4+'TCO TO BE - HW'!$E$4)*SUM(EXTERNE_POZICIE!$M$41:$M$52)*1.23)/EXTERNE_POZICIE!$B$41)),0)+IFERROR(SUM(#REF!)*'TCO TO BE- SW'!L$4/'TCO TO BE- SW'!$E$4,0)</f>
        <v>0</v>
      </c>
      <c r="M158" s="574">
        <f>IFERROR(IF((POZICIE_INTERNE!$B$41-12*('TCO TO BE- SW'!$D158-1))&gt;12,((M$4+'TCO TO BE - HW'!M$4)/($E$4+'TCO TO BE - HW'!$E$4)*SUM(POZICIE_INTERNE!$I$41:$I$52))/POZICIE_INTERNE!$B$41*12,IF((POZICIE_INTERNE!$B$41-12*('TCO TO BE- SW'!$D158-1))&lt;0,0,(POZICIE_INTERNE!$B$41-12*('TCO TO BE- SW'!$D158-1))*((M$4+'TCO TO BE - HW'!M$4)/($E$4+'TCO TO BE - HW'!$E$4)*SUM(POZICIE_INTERNE!$I$41:$I$52))/POZICIE_INTERNE!$B$41)),0)+IFERROR(IF((EXTERNE_POZICIE!$B$41-12*('TCO TO BE- SW'!$D158-1))&gt;12,((M$4+'TCO TO BE - HW'!M$4)/($E$4+'TCO TO BE - HW'!$E$4)*SUM(EXTERNE_POZICIE!$M$41:$M$52)*1.23)/EXTERNE_POZICIE!$B$41*12,IF((EXTERNE_POZICIE!$B$41-12*('TCO TO BE- SW'!$D158-1))&lt;0,0,(EXTERNE_POZICIE!$B$41-12*('TCO TO BE- SW'!$D158-1))*((M$4+'TCO TO BE - HW'!M$4)/($E$4+'TCO TO BE - HW'!$E$4)*SUM(EXTERNE_POZICIE!$M$41:$M$52)*1.23)/EXTERNE_POZICIE!$B$41)),0)+IFERROR(SUM(#REF!)*'TCO TO BE- SW'!M$4/'TCO TO BE- SW'!$E$4,0)</f>
        <v>0</v>
      </c>
      <c r="N158" s="574">
        <f>IFERROR(IF((POZICIE_INTERNE!$B$41-12*('TCO TO BE- SW'!$D158-1))&gt;12,((N$4+'TCO TO BE - HW'!N$4)/($E$4+'TCO TO BE - HW'!$E$4)*SUM(POZICIE_INTERNE!$I$41:$I$52))/POZICIE_INTERNE!$B$41*12,IF((POZICIE_INTERNE!$B$41-12*('TCO TO BE- SW'!$D158-1))&lt;0,0,(POZICIE_INTERNE!$B$41-12*('TCO TO BE- SW'!$D158-1))*((N$4+'TCO TO BE - HW'!N$4)/($E$4+'TCO TO BE - HW'!$E$4)*SUM(POZICIE_INTERNE!$I$41:$I$52))/POZICIE_INTERNE!$B$41)),0)+IFERROR(IF((EXTERNE_POZICIE!$B$41-12*('TCO TO BE- SW'!$D158-1))&gt;12,((N$4+'TCO TO BE - HW'!N$4)/($E$4+'TCO TO BE - HW'!$E$4)*SUM(EXTERNE_POZICIE!$M$41:$M$52)*1.23)/EXTERNE_POZICIE!$B$41*12,IF((EXTERNE_POZICIE!$B$41-12*('TCO TO BE- SW'!$D158-1))&lt;0,0,(EXTERNE_POZICIE!$B$41-12*('TCO TO BE- SW'!$D158-1))*((N$4+'TCO TO BE - HW'!N$4)/($E$4+'TCO TO BE - HW'!$E$4)*SUM(EXTERNE_POZICIE!$M$41:$M$52)*1.23)/EXTERNE_POZICIE!$B$41)),0)+IFERROR(SUM(#REF!)*'TCO TO BE- SW'!N$4/'TCO TO BE- SW'!$E$4,0)</f>
        <v>0</v>
      </c>
      <c r="O158" s="574">
        <f>IFERROR(IF((POZICIE_INTERNE!$B$41-12*('TCO TO BE- SW'!$D158-1))&gt;12,((O$4+'TCO TO BE - HW'!O$4)/($E$4+'TCO TO BE - HW'!$E$4)*SUM(POZICIE_INTERNE!$I$41:$I$52))/POZICIE_INTERNE!$B$41*12,IF((POZICIE_INTERNE!$B$41-12*('TCO TO BE- SW'!$D158-1))&lt;0,0,(POZICIE_INTERNE!$B$41-12*('TCO TO BE- SW'!$D158-1))*((O$4+'TCO TO BE - HW'!O$4)/($E$4+'TCO TO BE - HW'!$E$4)*SUM(POZICIE_INTERNE!$I$41:$I$52))/POZICIE_INTERNE!$B$41)),0)+IFERROR(IF((EXTERNE_POZICIE!$B$41-12*('TCO TO BE- SW'!$D158-1))&gt;12,((O$4+'TCO TO BE - HW'!O$4)/($E$4+'TCO TO BE - HW'!$E$4)*SUM(EXTERNE_POZICIE!$M$41:$M$52)*1.23)/EXTERNE_POZICIE!$B$41*12,IF((EXTERNE_POZICIE!$B$41-12*('TCO TO BE- SW'!$D158-1))&lt;0,0,(EXTERNE_POZICIE!$B$41-12*('TCO TO BE- SW'!$D158-1))*((O$4+'TCO TO BE - HW'!O$4)/($E$4+'TCO TO BE - HW'!$E$4)*SUM(EXTERNE_POZICIE!$M$41:$M$52)*1.23)/EXTERNE_POZICIE!$B$41)),0)+IFERROR(SUM(#REF!)*'TCO TO BE- SW'!O$4/'TCO TO BE- SW'!$E$4,0)</f>
        <v>0</v>
      </c>
      <c r="P158" s="574">
        <f>IFERROR(IF((POZICIE_INTERNE!$B$41-12*('TCO TO BE- SW'!$D158-1))&gt;12,((P$4+'TCO TO BE - HW'!P$4)/($E$4+'TCO TO BE - HW'!$E$4)*SUM(POZICIE_INTERNE!$I$41:$I$52))/POZICIE_INTERNE!$B$41*12,IF((POZICIE_INTERNE!$B$41-12*('TCO TO BE- SW'!$D158-1))&lt;0,0,(POZICIE_INTERNE!$B$41-12*('TCO TO BE- SW'!$D158-1))*((P$4+'TCO TO BE - HW'!P$4)/($E$4+'TCO TO BE - HW'!$E$4)*SUM(POZICIE_INTERNE!$I$41:$I$52))/POZICIE_INTERNE!$B$41)),0)+IFERROR(IF((EXTERNE_POZICIE!$B$41-12*('TCO TO BE- SW'!$D158-1))&gt;12,((P$4+'TCO TO BE - HW'!P$4)/($E$4+'TCO TO BE - HW'!$E$4)*SUM(EXTERNE_POZICIE!$M$41:$M$52)*1.23)/EXTERNE_POZICIE!$B$41*12,IF((EXTERNE_POZICIE!$B$41-12*('TCO TO BE- SW'!$D158-1))&lt;0,0,(EXTERNE_POZICIE!$B$41-12*('TCO TO BE- SW'!$D158-1))*((P$4+'TCO TO BE - HW'!P$4)/($E$4+'TCO TO BE - HW'!$E$4)*SUM(EXTERNE_POZICIE!$M$41:$M$52)*1.23)/EXTERNE_POZICIE!$B$41)),0)+IFERROR(SUM(#REF!)*'TCO TO BE- SW'!P$4/'TCO TO BE- SW'!$E$4,0)</f>
        <v>0</v>
      </c>
      <c r="Q158" s="574">
        <f>IFERROR(IF((POZICIE_INTERNE!$B$41-12*('TCO TO BE- SW'!$D158-1))&gt;12,((Q$4+'TCO TO BE - HW'!Q$4)/($E$4+'TCO TO BE - HW'!$E$4)*SUM(POZICIE_INTERNE!$I$41:$I$52))/POZICIE_INTERNE!$B$41*12,IF((POZICIE_INTERNE!$B$41-12*('TCO TO BE- SW'!$D158-1))&lt;0,0,(POZICIE_INTERNE!$B$41-12*('TCO TO BE- SW'!$D158-1))*((Q$4+'TCO TO BE - HW'!Q$4)/($E$4+'TCO TO BE - HW'!$E$4)*SUM(POZICIE_INTERNE!$I$41:$I$52))/POZICIE_INTERNE!$B$41)),0)+IFERROR(IF((EXTERNE_POZICIE!$B$41-12*('TCO TO BE- SW'!$D158-1))&gt;12,((Q$4+'TCO TO BE - HW'!Q$4)/($E$4+'TCO TO BE - HW'!$E$4)*SUM(EXTERNE_POZICIE!$M$41:$M$52)*1.23)/EXTERNE_POZICIE!$B$41*12,IF((EXTERNE_POZICIE!$B$41-12*('TCO TO BE- SW'!$D158-1))&lt;0,0,(EXTERNE_POZICIE!$B$41-12*('TCO TO BE- SW'!$D158-1))*((Q$4+'TCO TO BE - HW'!Q$4)/($E$4+'TCO TO BE - HW'!$E$4)*SUM(EXTERNE_POZICIE!$M$41:$M$52)*1.23)/EXTERNE_POZICIE!$B$41)),0)+IFERROR(SUM(#REF!)*'TCO TO BE- SW'!Q$4/'TCO TO BE- SW'!$E$4,0)</f>
        <v>0</v>
      </c>
      <c r="R158" s="574">
        <f>IFERROR(IF((POZICIE_INTERNE!$B$41-12*('TCO TO BE- SW'!$D158-1))&gt;12,((R$4+'TCO TO BE - HW'!R$4)/($E$4+'TCO TO BE - HW'!$E$4)*SUM(POZICIE_INTERNE!$I$41:$I$52))/POZICIE_INTERNE!$B$41*12,IF((POZICIE_INTERNE!$B$41-12*('TCO TO BE- SW'!$D158-1))&lt;0,0,(POZICIE_INTERNE!$B$41-12*('TCO TO BE- SW'!$D158-1))*((R$4+'TCO TO BE - HW'!R$4)/($E$4+'TCO TO BE - HW'!$E$4)*SUM(POZICIE_INTERNE!$I$41:$I$52))/POZICIE_INTERNE!$B$41)),0)+IFERROR(IF((EXTERNE_POZICIE!$B$41-12*('TCO TO BE- SW'!$D158-1))&gt;12,((R$4+'TCO TO BE - HW'!R$4)/($E$4+'TCO TO BE - HW'!$E$4)*SUM(EXTERNE_POZICIE!$M$41:$M$52)*1.23)/EXTERNE_POZICIE!$B$41*12,IF((EXTERNE_POZICIE!$B$41-12*('TCO TO BE- SW'!$D158-1))&lt;0,0,(EXTERNE_POZICIE!$B$41-12*('TCO TO BE- SW'!$D158-1))*((R$4+'TCO TO BE - HW'!R$4)/($E$4+'TCO TO BE - HW'!$E$4)*SUM(EXTERNE_POZICIE!$M$41:$M$52)*1.23)/EXTERNE_POZICIE!$B$41)),0)+IFERROR(SUM(#REF!)*'TCO TO BE- SW'!R$4/'TCO TO BE- SW'!$E$4,0)</f>
        <v>0</v>
      </c>
      <c r="S158" s="574">
        <f>IFERROR(IF((POZICIE_INTERNE!$B$41-12*('TCO TO BE- SW'!$D158-1))&gt;12,((S$4+'TCO TO BE - HW'!S$4)/($E$4+'TCO TO BE - HW'!$E$4)*SUM(POZICIE_INTERNE!$I$41:$I$52))/POZICIE_INTERNE!$B$41*12,IF((POZICIE_INTERNE!$B$41-12*('TCO TO BE- SW'!$D158-1))&lt;0,0,(POZICIE_INTERNE!$B$41-12*('TCO TO BE- SW'!$D158-1))*((S$4+'TCO TO BE - HW'!S$4)/($E$4+'TCO TO BE - HW'!$E$4)*SUM(POZICIE_INTERNE!$I$41:$I$52))/POZICIE_INTERNE!$B$41)),0)+IFERROR(IF((EXTERNE_POZICIE!$B$41-12*('TCO TO BE- SW'!$D158-1))&gt;12,((S$4+'TCO TO BE - HW'!S$4)/($E$4+'TCO TO BE - HW'!$E$4)*SUM(EXTERNE_POZICIE!$M$41:$M$52)*1.23)/EXTERNE_POZICIE!$B$41*12,IF((EXTERNE_POZICIE!$B$41-12*('TCO TO BE- SW'!$D158-1))&lt;0,0,(EXTERNE_POZICIE!$B$41-12*('TCO TO BE- SW'!$D158-1))*((S$4+'TCO TO BE - HW'!S$4)/($E$4+'TCO TO BE - HW'!$E$4)*SUM(EXTERNE_POZICIE!$M$41:$M$52)*1.23)/EXTERNE_POZICIE!$B$41)),0)+IFERROR(SUM(#REF!)*'TCO TO BE- SW'!S$4/'TCO TO BE- SW'!$E$4,0)</f>
        <v>0</v>
      </c>
      <c r="T158" s="574">
        <f>IFERROR(IF((POZICIE_INTERNE!$B$41-12*('TCO TO BE- SW'!$D158-1))&gt;12,((T$4+'TCO TO BE - HW'!T$4)/($E$4+'TCO TO BE - HW'!$E$4)*SUM(POZICIE_INTERNE!$I$41:$I$52))/POZICIE_INTERNE!$B$41*12,IF((POZICIE_INTERNE!$B$41-12*('TCO TO BE- SW'!$D158-1))&lt;0,0,(POZICIE_INTERNE!$B$41-12*('TCO TO BE- SW'!$D158-1))*((T$4+'TCO TO BE - HW'!T$4)/($E$4+'TCO TO BE - HW'!$E$4)*SUM(POZICIE_INTERNE!$I$41:$I$52))/POZICIE_INTERNE!$B$41)),0)+IFERROR(IF((EXTERNE_POZICIE!$B$41-12*('TCO TO BE- SW'!$D158-1))&gt;12,((T$4+'TCO TO BE - HW'!T$4)/($E$4+'TCO TO BE - HW'!$E$4)*SUM(EXTERNE_POZICIE!$M$41:$M$52)*1.23)/EXTERNE_POZICIE!$B$41*12,IF((EXTERNE_POZICIE!$B$41-12*('TCO TO BE- SW'!$D158-1))&lt;0,0,(EXTERNE_POZICIE!$B$41-12*('TCO TO BE- SW'!$D158-1))*((T$4+'TCO TO BE - HW'!T$4)/($E$4+'TCO TO BE - HW'!$E$4)*SUM(EXTERNE_POZICIE!$M$41:$M$52)*1.23)/EXTERNE_POZICIE!$B$41)),0)+IFERROR(SUM(#REF!)*'TCO TO BE- SW'!T$4/'TCO TO BE- SW'!$E$4,0)</f>
        <v>0</v>
      </c>
      <c r="U158" s="574">
        <f>IFERROR(IF((POZICIE_INTERNE!$B$41-12*('TCO TO BE- SW'!$D158-1))&gt;12,((U$4+'TCO TO BE - HW'!U$4)/($E$4+'TCO TO BE - HW'!$E$4)*SUM(POZICIE_INTERNE!$I$41:$I$52))/POZICIE_INTERNE!$B$41*12,IF((POZICIE_INTERNE!$B$41-12*('TCO TO BE- SW'!$D158-1))&lt;0,0,(POZICIE_INTERNE!$B$41-12*('TCO TO BE- SW'!$D158-1))*((U$4+'TCO TO BE - HW'!U$4)/($E$4+'TCO TO BE - HW'!$E$4)*SUM(POZICIE_INTERNE!$I$41:$I$52))/POZICIE_INTERNE!$B$41)),0)+IFERROR(IF((EXTERNE_POZICIE!$B$41-12*('TCO TO BE- SW'!$D158-1))&gt;12,((U$4+'TCO TO BE - HW'!U$4)/($E$4+'TCO TO BE - HW'!$E$4)*SUM(EXTERNE_POZICIE!$M$41:$M$52)*1.23)/EXTERNE_POZICIE!$B$41*12,IF((EXTERNE_POZICIE!$B$41-12*('TCO TO BE- SW'!$D158-1))&lt;0,0,(EXTERNE_POZICIE!$B$41-12*('TCO TO BE- SW'!$D158-1))*((U$4+'TCO TO BE - HW'!U$4)/($E$4+'TCO TO BE - HW'!$E$4)*SUM(EXTERNE_POZICIE!$M$41:$M$52)*1.23)/EXTERNE_POZICIE!$B$41)),0)+IFERROR(SUM(#REF!)*'TCO TO BE- SW'!U$4/'TCO TO BE- SW'!$E$4,0)</f>
        <v>0</v>
      </c>
      <c r="V158" s="574">
        <f>IFERROR(IF((POZICIE_INTERNE!$B$41-12*('TCO TO BE- SW'!$D158-1))&gt;12,((V$4+'TCO TO BE - HW'!V$4)/($E$4+'TCO TO BE - HW'!$E$4)*SUM(POZICIE_INTERNE!$I$41:$I$52))/POZICIE_INTERNE!$B$41*12,IF((POZICIE_INTERNE!$B$41-12*('TCO TO BE- SW'!$D158-1))&lt;0,0,(POZICIE_INTERNE!$B$41-12*('TCO TO BE- SW'!$D158-1))*((V$4+'TCO TO BE - HW'!V$4)/($E$4+'TCO TO BE - HW'!$E$4)*SUM(POZICIE_INTERNE!$I$41:$I$52))/POZICIE_INTERNE!$B$41)),0)+IFERROR(IF((EXTERNE_POZICIE!$B$41-12*('TCO TO BE- SW'!$D158-1))&gt;12,((V$4+'TCO TO BE - HW'!V$4)/($E$4+'TCO TO BE - HW'!$E$4)*SUM(EXTERNE_POZICIE!$M$41:$M$52)*1.23)/EXTERNE_POZICIE!$B$41*12,IF((EXTERNE_POZICIE!$B$41-12*('TCO TO BE- SW'!$D158-1))&lt;0,0,(EXTERNE_POZICIE!$B$41-12*('TCO TO BE- SW'!$D158-1))*((V$4+'TCO TO BE - HW'!V$4)/($E$4+'TCO TO BE - HW'!$E$4)*SUM(EXTERNE_POZICIE!$M$41:$M$52)*1.23)/EXTERNE_POZICIE!$B$41)),0)+IFERROR(SUM(#REF!)*'TCO TO BE- SW'!V$4/'TCO TO BE- SW'!$E$4,0)</f>
        <v>0</v>
      </c>
      <c r="W158" s="574">
        <f>IFERROR(IF((POZICIE_INTERNE!$B$41-12*('TCO TO BE- SW'!$D158-1))&gt;12,((W$4+'TCO TO BE - HW'!W$4)/($E$4+'TCO TO BE - HW'!$E$4)*SUM(POZICIE_INTERNE!$I$41:$I$52))/POZICIE_INTERNE!$B$41*12,IF((POZICIE_INTERNE!$B$41-12*('TCO TO BE- SW'!$D158-1))&lt;0,0,(POZICIE_INTERNE!$B$41-12*('TCO TO BE- SW'!$D158-1))*((W$4+'TCO TO BE - HW'!W$4)/($E$4+'TCO TO BE - HW'!$E$4)*SUM(POZICIE_INTERNE!$I$41:$I$52))/POZICIE_INTERNE!$B$41)),0)+IFERROR(IF((EXTERNE_POZICIE!$B$41-12*('TCO TO BE- SW'!$D158-1))&gt;12,((W$4+'TCO TO BE - HW'!W$4)/($E$4+'TCO TO BE - HW'!$E$4)*SUM(EXTERNE_POZICIE!$M$41:$M$52)*1.23)/EXTERNE_POZICIE!$B$41*12,IF((EXTERNE_POZICIE!$B$41-12*('TCO TO BE- SW'!$D158-1))&lt;0,0,(EXTERNE_POZICIE!$B$41-12*('TCO TO BE- SW'!$D158-1))*((W$4+'TCO TO BE - HW'!W$4)/($E$4+'TCO TO BE - HW'!$E$4)*SUM(EXTERNE_POZICIE!$M$41:$M$52)*1.23)/EXTERNE_POZICIE!$B$41)),0)+IFERROR(SUM(#REF!)*'TCO TO BE- SW'!W$4/'TCO TO BE- SW'!$E$4,0)</f>
        <v>0</v>
      </c>
      <c r="X158" s="574">
        <f>IFERROR(IF((POZICIE_INTERNE!$B$41-12*('TCO TO BE- SW'!$D158-1))&gt;12,((X$4+'TCO TO BE - HW'!X$4)/($E$4+'TCO TO BE - HW'!$E$4)*SUM(POZICIE_INTERNE!$I$41:$I$52))/POZICIE_INTERNE!$B$41*12,IF((POZICIE_INTERNE!$B$41-12*('TCO TO BE- SW'!$D158-1))&lt;0,0,(POZICIE_INTERNE!$B$41-12*('TCO TO BE- SW'!$D158-1))*((X$4+'TCO TO BE - HW'!X$4)/($E$4+'TCO TO BE - HW'!$E$4)*SUM(POZICIE_INTERNE!$I$41:$I$52))/POZICIE_INTERNE!$B$41)),0)+IFERROR(IF((EXTERNE_POZICIE!$B$41-12*('TCO TO BE- SW'!$D158-1))&gt;12,((X$4+'TCO TO BE - HW'!X$4)/($E$4+'TCO TO BE - HW'!$E$4)*SUM(EXTERNE_POZICIE!$M$41:$M$52)*1.23)/EXTERNE_POZICIE!$B$41*12,IF((EXTERNE_POZICIE!$B$41-12*('TCO TO BE- SW'!$D158-1))&lt;0,0,(EXTERNE_POZICIE!$B$41-12*('TCO TO BE- SW'!$D158-1))*((X$4+'TCO TO BE - HW'!X$4)/($E$4+'TCO TO BE - HW'!$E$4)*SUM(EXTERNE_POZICIE!$M$41:$M$52)*1.23)/EXTERNE_POZICIE!$B$41)),0)+IFERROR(SUM(#REF!)*'TCO TO BE- SW'!X$4/'TCO TO BE- SW'!$E$4,0)</f>
        <v>0</v>
      </c>
      <c r="Y158" s="574">
        <f>IFERROR(IF((POZICIE_INTERNE!$B$41-12*('TCO TO BE- SW'!$D158-1))&gt;12,((Y$4+'TCO TO BE - HW'!Y$4)/($E$4+'TCO TO BE - HW'!$E$4)*SUM(POZICIE_INTERNE!$I$41:$I$52))/POZICIE_INTERNE!$B$41*12,IF((POZICIE_INTERNE!$B$41-12*('TCO TO BE- SW'!$D158-1))&lt;0,0,(POZICIE_INTERNE!$B$41-12*('TCO TO BE- SW'!$D158-1))*((Y$4+'TCO TO BE - HW'!Y$4)/($E$4+'TCO TO BE - HW'!$E$4)*SUM(POZICIE_INTERNE!$I$41:$I$52))/POZICIE_INTERNE!$B$41)),0)+IFERROR(IF((EXTERNE_POZICIE!$B$41-12*('TCO TO BE- SW'!$D158-1))&gt;12,((Y$4+'TCO TO BE - HW'!Y$4)/($E$4+'TCO TO BE - HW'!$E$4)*SUM(EXTERNE_POZICIE!$M$41:$M$52)*1.23)/EXTERNE_POZICIE!$B$41*12,IF((EXTERNE_POZICIE!$B$41-12*('TCO TO BE- SW'!$D158-1))&lt;0,0,(EXTERNE_POZICIE!$B$41-12*('TCO TO BE- SW'!$D158-1))*((Y$4+'TCO TO BE - HW'!Y$4)/($E$4+'TCO TO BE - HW'!$E$4)*SUM(EXTERNE_POZICIE!$M$41:$M$52)*1.23)/EXTERNE_POZICIE!$B$41)),0)+IFERROR(SUM(#REF!)*'TCO TO BE- SW'!Y$4/'TCO TO BE- SW'!$E$4,0)</f>
        <v>0</v>
      </c>
      <c r="Z158" s="574">
        <f>IFERROR(IF((POZICIE_INTERNE!$B$41-12*('TCO TO BE- SW'!$D158-1))&gt;12,((Z$4+'TCO TO BE - HW'!Z$4)/($E$4+'TCO TO BE - HW'!$E$4)*SUM(POZICIE_INTERNE!$I$41:$I$52))/POZICIE_INTERNE!$B$41*12,IF((POZICIE_INTERNE!$B$41-12*('TCO TO BE- SW'!$D158-1))&lt;0,0,(POZICIE_INTERNE!$B$41-12*('TCO TO BE- SW'!$D158-1))*((Z$4+'TCO TO BE - HW'!Z$4)/($E$4+'TCO TO BE - HW'!$E$4)*SUM(POZICIE_INTERNE!$I$41:$I$52))/POZICIE_INTERNE!$B$41)),0)+IFERROR(IF((EXTERNE_POZICIE!$B$41-12*('TCO TO BE- SW'!$D158-1))&gt;12,((Z$4+'TCO TO BE - HW'!Z$4)/($E$4+'TCO TO BE - HW'!$E$4)*SUM(EXTERNE_POZICIE!$M$41:$M$52)*1.23)/EXTERNE_POZICIE!$B$41*12,IF((EXTERNE_POZICIE!$B$41-12*('TCO TO BE- SW'!$D158-1))&lt;0,0,(EXTERNE_POZICIE!$B$41-12*('TCO TO BE- SW'!$D158-1))*((Z$4+'TCO TO BE - HW'!Z$4)/($E$4+'TCO TO BE - HW'!$E$4)*SUM(EXTERNE_POZICIE!$M$41:$M$52)*1.23)/EXTERNE_POZICIE!$B$41)),0)+IFERROR(SUM(#REF!)*'TCO TO BE- SW'!Z$4/'TCO TO BE- SW'!$E$4,0)</f>
        <v>0</v>
      </c>
    </row>
    <row r="159" spans="1:26">
      <c r="A159" s="817"/>
      <c r="B159" s="818"/>
      <c r="C159" s="818"/>
      <c r="D159" s="64">
        <v>9</v>
      </c>
      <c r="E159" s="68">
        <f t="shared" si="16"/>
        <v>0</v>
      </c>
      <c r="F159" s="574">
        <f>IFERROR(IF((POZICIE_INTERNE!$B$41-12*('TCO TO BE- SW'!$D159-1))&gt;12,((F$4+'TCO TO BE - HW'!F$4)/($E$4+'TCO TO BE - HW'!$E$4)*SUM(POZICIE_INTERNE!$I$41:$I$52))/POZICIE_INTERNE!$B$41*12,IF((POZICIE_INTERNE!$B$41-12*('TCO TO BE- SW'!$D159-1))&lt;0,0,(POZICIE_INTERNE!$B$41-12*('TCO TO BE- SW'!$D159-1))*((F$4+'TCO TO BE - HW'!F$4)/($E$4+'TCO TO BE - HW'!$E$4)*SUM(POZICIE_INTERNE!$I$41:$I$52))/POZICIE_INTERNE!$B$41)),0)+IFERROR(IF((EXTERNE_POZICIE!$B$41-12*('TCO TO BE- SW'!$D159-1))&gt;12,((F$4+'TCO TO BE - HW'!F$4)/($E$4+'TCO TO BE - HW'!$E$4)*SUM(EXTERNE_POZICIE!$M$41:$M$52)*1.23)/EXTERNE_POZICIE!$B$41*12,IF((EXTERNE_POZICIE!$B$41-12*('TCO TO BE- SW'!$D159-1))&lt;0,0,(EXTERNE_POZICIE!$B$41-12*('TCO TO BE- SW'!$D159-1))*((F$4+'TCO TO BE - HW'!F$4)/($E$4+'TCO TO BE - HW'!$E$4)*SUM(EXTERNE_POZICIE!$M$41:$M$52)*1.23)/EXTERNE_POZICIE!$B$41)),0)+IFERROR(SUM(#REF!)*'TCO TO BE- SW'!F$4/'TCO TO BE- SW'!$E$4,0)</f>
        <v>0</v>
      </c>
      <c r="G159" s="574">
        <f>IFERROR(IF((POZICIE_INTERNE!$B$41-12*('TCO TO BE- SW'!$D159-1))&gt;12,((G$4+'TCO TO BE - HW'!G$4)/($E$4+'TCO TO BE - HW'!$E$4)*SUM(POZICIE_INTERNE!$I$41:$I$52))/POZICIE_INTERNE!$B$41*12,IF((POZICIE_INTERNE!$B$41-12*('TCO TO BE- SW'!$D159-1))&lt;0,0,(POZICIE_INTERNE!$B$41-12*('TCO TO BE- SW'!$D159-1))*((G$4+'TCO TO BE - HW'!G$4)/($E$4+'TCO TO BE - HW'!$E$4)*SUM(POZICIE_INTERNE!$I$41:$I$52))/POZICIE_INTERNE!$B$41)),0)+IFERROR(IF((EXTERNE_POZICIE!$B$41-12*('TCO TO BE- SW'!$D159-1))&gt;12,((G$4+'TCO TO BE - HW'!G$4)/($E$4+'TCO TO BE - HW'!$E$4)*SUM(EXTERNE_POZICIE!$M$41:$M$52)*1.23)/EXTERNE_POZICIE!$B$41*12,IF((EXTERNE_POZICIE!$B$41-12*('TCO TO BE- SW'!$D159-1))&lt;0,0,(EXTERNE_POZICIE!$B$41-12*('TCO TO BE- SW'!$D159-1))*((G$4+'TCO TO BE - HW'!G$4)/($E$4+'TCO TO BE - HW'!$E$4)*SUM(EXTERNE_POZICIE!$M$41:$M$52)*1.23)/EXTERNE_POZICIE!$B$41)),0)+IFERROR(SUM(#REF!)*'TCO TO BE- SW'!G$4/'TCO TO BE- SW'!$E$4,0)</f>
        <v>0</v>
      </c>
      <c r="H159" s="574">
        <f>IFERROR(IF((POZICIE_INTERNE!$B$41-12*('TCO TO BE- SW'!$D159-1))&gt;12,((H$4+'TCO TO BE - HW'!H$4)/($E$4+'TCO TO BE - HW'!$E$4)*SUM(POZICIE_INTERNE!$I$41:$I$52))/POZICIE_INTERNE!$B$41*12,IF((POZICIE_INTERNE!$B$41-12*('TCO TO BE- SW'!$D159-1))&lt;0,0,(POZICIE_INTERNE!$B$41-12*('TCO TO BE- SW'!$D159-1))*((H$4+'TCO TO BE - HW'!H$4)/($E$4+'TCO TO BE - HW'!$E$4)*SUM(POZICIE_INTERNE!$I$41:$I$52))/POZICIE_INTERNE!$B$41)),0)+IFERROR(IF((EXTERNE_POZICIE!$B$41-12*('TCO TO BE- SW'!$D159-1))&gt;12,((H$4+'TCO TO BE - HW'!H$4)/($E$4+'TCO TO BE - HW'!$E$4)*SUM(EXTERNE_POZICIE!$M$41:$M$52)*1.23)/EXTERNE_POZICIE!$B$41*12,IF((EXTERNE_POZICIE!$B$41-12*('TCO TO BE- SW'!$D159-1))&lt;0,0,(EXTERNE_POZICIE!$B$41-12*('TCO TO BE- SW'!$D159-1))*((H$4+'TCO TO BE - HW'!H$4)/($E$4+'TCO TO BE - HW'!$E$4)*SUM(EXTERNE_POZICIE!$M$41:$M$52)*1.23)/EXTERNE_POZICIE!$B$41)),0)+IFERROR(SUM(#REF!)*'TCO TO BE- SW'!H$4/'TCO TO BE- SW'!$E$4,0)</f>
        <v>0</v>
      </c>
      <c r="I159" s="574">
        <f>IFERROR(IF((POZICIE_INTERNE!$B$41-12*('TCO TO BE- SW'!$D159-1))&gt;12,((I$4+'TCO TO BE - HW'!I$4)/($E$4+'TCO TO BE - HW'!$E$4)*SUM(POZICIE_INTERNE!$I$41:$I$52))/POZICIE_INTERNE!$B$41*12,IF((POZICIE_INTERNE!$B$41-12*('TCO TO BE- SW'!$D159-1))&lt;0,0,(POZICIE_INTERNE!$B$41-12*('TCO TO BE- SW'!$D159-1))*((I$4+'TCO TO BE - HW'!I$4)/($E$4+'TCO TO BE - HW'!$E$4)*SUM(POZICIE_INTERNE!$I$41:$I$52))/POZICIE_INTERNE!$B$41)),0)+IFERROR(IF((EXTERNE_POZICIE!$B$41-12*('TCO TO BE- SW'!$D159-1))&gt;12,((I$4+'TCO TO BE - HW'!I$4)/($E$4+'TCO TO BE - HW'!$E$4)*SUM(EXTERNE_POZICIE!$M$41:$M$52)*1.23)/EXTERNE_POZICIE!$B$41*12,IF((EXTERNE_POZICIE!$B$41-12*('TCO TO BE- SW'!$D159-1))&lt;0,0,(EXTERNE_POZICIE!$B$41-12*('TCO TO BE- SW'!$D159-1))*((I$4+'TCO TO BE - HW'!I$4)/($E$4+'TCO TO BE - HW'!$E$4)*SUM(EXTERNE_POZICIE!$M$41:$M$52)*1.23)/EXTERNE_POZICIE!$B$41)),0)+IFERROR(SUM(#REF!)*'TCO TO BE- SW'!I$4/'TCO TO BE- SW'!$E$4,0)</f>
        <v>0</v>
      </c>
      <c r="J159" s="574">
        <f>IFERROR(IF((POZICIE_INTERNE!$B$41-12*('TCO TO BE- SW'!$D159-1))&gt;12,((J$4+'TCO TO BE - HW'!J$4)/($E$4+'TCO TO BE - HW'!$E$4)*SUM(POZICIE_INTERNE!$I$41:$I$52))/POZICIE_INTERNE!$B$41*12,IF((POZICIE_INTERNE!$B$41-12*('TCO TO BE- SW'!$D159-1))&lt;0,0,(POZICIE_INTERNE!$B$41-12*('TCO TO BE- SW'!$D159-1))*((J$4+'TCO TO BE - HW'!J$4)/($E$4+'TCO TO BE - HW'!$E$4)*SUM(POZICIE_INTERNE!$I$41:$I$52))/POZICIE_INTERNE!$B$41)),0)+IFERROR(IF((EXTERNE_POZICIE!$B$41-12*('TCO TO BE- SW'!$D159-1))&gt;12,((J$4+'TCO TO BE - HW'!J$4)/($E$4+'TCO TO BE - HW'!$E$4)*SUM(EXTERNE_POZICIE!$M$41:$M$52)*1.23)/EXTERNE_POZICIE!$B$41*12,IF((EXTERNE_POZICIE!$B$41-12*('TCO TO BE- SW'!$D159-1))&lt;0,0,(EXTERNE_POZICIE!$B$41-12*('TCO TO BE- SW'!$D159-1))*((J$4+'TCO TO BE - HW'!J$4)/($E$4+'TCO TO BE - HW'!$E$4)*SUM(EXTERNE_POZICIE!$M$41:$M$52)*1.23)/EXTERNE_POZICIE!$B$41)),0)+IFERROR(SUM(#REF!)*'TCO TO BE- SW'!J$4/'TCO TO BE- SW'!$E$4,0)</f>
        <v>0</v>
      </c>
      <c r="K159" s="574">
        <f>IFERROR(IF((POZICIE_INTERNE!$B$41-12*('TCO TO BE- SW'!$D159-1))&gt;12,((K$4+'TCO TO BE - HW'!K$4)/($E$4+'TCO TO BE - HW'!$E$4)*SUM(POZICIE_INTERNE!$I$41:$I$52))/POZICIE_INTERNE!$B$41*12,IF((POZICIE_INTERNE!$B$41-12*('TCO TO BE- SW'!$D159-1))&lt;0,0,(POZICIE_INTERNE!$B$41-12*('TCO TO BE- SW'!$D159-1))*((K$4+'TCO TO BE - HW'!K$4)/($E$4+'TCO TO BE - HW'!$E$4)*SUM(POZICIE_INTERNE!$I$41:$I$52))/POZICIE_INTERNE!$B$41)),0)+IFERROR(IF((EXTERNE_POZICIE!$B$41-12*('TCO TO BE- SW'!$D159-1))&gt;12,((K$4+'TCO TO BE - HW'!K$4)/($E$4+'TCO TO BE - HW'!$E$4)*SUM(EXTERNE_POZICIE!$M$41:$M$52)*1.23)/EXTERNE_POZICIE!$B$41*12,IF((EXTERNE_POZICIE!$B$41-12*('TCO TO BE- SW'!$D159-1))&lt;0,0,(EXTERNE_POZICIE!$B$41-12*('TCO TO BE- SW'!$D159-1))*((K$4+'TCO TO BE - HW'!K$4)/($E$4+'TCO TO BE - HW'!$E$4)*SUM(EXTERNE_POZICIE!$M$41:$M$52)*1.23)/EXTERNE_POZICIE!$B$41)),0)+IFERROR(SUM(#REF!)*'TCO TO BE- SW'!K$4/'TCO TO BE- SW'!$E$4,0)</f>
        <v>0</v>
      </c>
      <c r="L159" s="574">
        <f>IFERROR(IF((POZICIE_INTERNE!$B$41-12*('TCO TO BE- SW'!$D159-1))&gt;12,((L$4+'TCO TO BE - HW'!L$4)/($E$4+'TCO TO BE - HW'!$E$4)*SUM(POZICIE_INTERNE!$I$41:$I$52))/POZICIE_INTERNE!$B$41*12,IF((POZICIE_INTERNE!$B$41-12*('TCO TO BE- SW'!$D159-1))&lt;0,0,(POZICIE_INTERNE!$B$41-12*('TCO TO BE- SW'!$D159-1))*((L$4+'TCO TO BE - HW'!L$4)/($E$4+'TCO TO BE - HW'!$E$4)*SUM(POZICIE_INTERNE!$I$41:$I$52))/POZICIE_INTERNE!$B$41)),0)+IFERROR(IF((EXTERNE_POZICIE!$B$41-12*('TCO TO BE- SW'!$D159-1))&gt;12,((L$4+'TCO TO BE - HW'!L$4)/($E$4+'TCO TO BE - HW'!$E$4)*SUM(EXTERNE_POZICIE!$M$41:$M$52)*1.23)/EXTERNE_POZICIE!$B$41*12,IF((EXTERNE_POZICIE!$B$41-12*('TCO TO BE- SW'!$D159-1))&lt;0,0,(EXTERNE_POZICIE!$B$41-12*('TCO TO BE- SW'!$D159-1))*((L$4+'TCO TO BE - HW'!L$4)/($E$4+'TCO TO BE - HW'!$E$4)*SUM(EXTERNE_POZICIE!$M$41:$M$52)*1.23)/EXTERNE_POZICIE!$B$41)),0)+IFERROR(SUM(#REF!)*'TCO TO BE- SW'!L$4/'TCO TO BE- SW'!$E$4,0)</f>
        <v>0</v>
      </c>
      <c r="M159" s="574">
        <f>IFERROR(IF((POZICIE_INTERNE!$B$41-12*('TCO TO BE- SW'!$D159-1))&gt;12,((M$4+'TCO TO BE - HW'!M$4)/($E$4+'TCO TO BE - HW'!$E$4)*SUM(POZICIE_INTERNE!$I$41:$I$52))/POZICIE_INTERNE!$B$41*12,IF((POZICIE_INTERNE!$B$41-12*('TCO TO BE- SW'!$D159-1))&lt;0,0,(POZICIE_INTERNE!$B$41-12*('TCO TO BE- SW'!$D159-1))*((M$4+'TCO TO BE - HW'!M$4)/($E$4+'TCO TO BE - HW'!$E$4)*SUM(POZICIE_INTERNE!$I$41:$I$52))/POZICIE_INTERNE!$B$41)),0)+IFERROR(IF((EXTERNE_POZICIE!$B$41-12*('TCO TO BE- SW'!$D159-1))&gt;12,((M$4+'TCO TO BE - HW'!M$4)/($E$4+'TCO TO BE - HW'!$E$4)*SUM(EXTERNE_POZICIE!$M$41:$M$52)*1.23)/EXTERNE_POZICIE!$B$41*12,IF((EXTERNE_POZICIE!$B$41-12*('TCO TO BE- SW'!$D159-1))&lt;0,0,(EXTERNE_POZICIE!$B$41-12*('TCO TO BE- SW'!$D159-1))*((M$4+'TCO TO BE - HW'!M$4)/($E$4+'TCO TO BE - HW'!$E$4)*SUM(EXTERNE_POZICIE!$M$41:$M$52)*1.23)/EXTERNE_POZICIE!$B$41)),0)+IFERROR(SUM(#REF!)*'TCO TO BE- SW'!M$4/'TCO TO BE- SW'!$E$4,0)</f>
        <v>0</v>
      </c>
      <c r="N159" s="574">
        <f>IFERROR(IF((POZICIE_INTERNE!$B$41-12*('TCO TO BE- SW'!$D159-1))&gt;12,((N$4+'TCO TO BE - HW'!N$4)/($E$4+'TCO TO BE - HW'!$E$4)*SUM(POZICIE_INTERNE!$I$41:$I$52))/POZICIE_INTERNE!$B$41*12,IF((POZICIE_INTERNE!$B$41-12*('TCO TO BE- SW'!$D159-1))&lt;0,0,(POZICIE_INTERNE!$B$41-12*('TCO TO BE- SW'!$D159-1))*((N$4+'TCO TO BE - HW'!N$4)/($E$4+'TCO TO BE - HW'!$E$4)*SUM(POZICIE_INTERNE!$I$41:$I$52))/POZICIE_INTERNE!$B$41)),0)+IFERROR(IF((EXTERNE_POZICIE!$B$41-12*('TCO TO BE- SW'!$D159-1))&gt;12,((N$4+'TCO TO BE - HW'!N$4)/($E$4+'TCO TO BE - HW'!$E$4)*SUM(EXTERNE_POZICIE!$M$41:$M$52)*1.23)/EXTERNE_POZICIE!$B$41*12,IF((EXTERNE_POZICIE!$B$41-12*('TCO TO BE- SW'!$D159-1))&lt;0,0,(EXTERNE_POZICIE!$B$41-12*('TCO TO BE- SW'!$D159-1))*((N$4+'TCO TO BE - HW'!N$4)/($E$4+'TCO TO BE - HW'!$E$4)*SUM(EXTERNE_POZICIE!$M$41:$M$52)*1.23)/EXTERNE_POZICIE!$B$41)),0)+IFERROR(SUM(#REF!)*'TCO TO BE- SW'!N$4/'TCO TO BE- SW'!$E$4,0)</f>
        <v>0</v>
      </c>
      <c r="O159" s="574">
        <f>IFERROR(IF((POZICIE_INTERNE!$B$41-12*('TCO TO BE- SW'!$D159-1))&gt;12,((O$4+'TCO TO BE - HW'!O$4)/($E$4+'TCO TO BE - HW'!$E$4)*SUM(POZICIE_INTERNE!$I$41:$I$52))/POZICIE_INTERNE!$B$41*12,IF((POZICIE_INTERNE!$B$41-12*('TCO TO BE- SW'!$D159-1))&lt;0,0,(POZICIE_INTERNE!$B$41-12*('TCO TO BE- SW'!$D159-1))*((O$4+'TCO TO BE - HW'!O$4)/($E$4+'TCO TO BE - HW'!$E$4)*SUM(POZICIE_INTERNE!$I$41:$I$52))/POZICIE_INTERNE!$B$41)),0)+IFERROR(IF((EXTERNE_POZICIE!$B$41-12*('TCO TO BE- SW'!$D159-1))&gt;12,((O$4+'TCO TO BE - HW'!O$4)/($E$4+'TCO TO BE - HW'!$E$4)*SUM(EXTERNE_POZICIE!$M$41:$M$52)*1.23)/EXTERNE_POZICIE!$B$41*12,IF((EXTERNE_POZICIE!$B$41-12*('TCO TO BE- SW'!$D159-1))&lt;0,0,(EXTERNE_POZICIE!$B$41-12*('TCO TO BE- SW'!$D159-1))*((O$4+'TCO TO BE - HW'!O$4)/($E$4+'TCO TO BE - HW'!$E$4)*SUM(EXTERNE_POZICIE!$M$41:$M$52)*1.23)/EXTERNE_POZICIE!$B$41)),0)+IFERROR(SUM(#REF!)*'TCO TO BE- SW'!O$4/'TCO TO BE- SW'!$E$4,0)</f>
        <v>0</v>
      </c>
      <c r="P159" s="574">
        <f>IFERROR(IF((POZICIE_INTERNE!$B$41-12*('TCO TO BE- SW'!$D159-1))&gt;12,((P$4+'TCO TO BE - HW'!P$4)/($E$4+'TCO TO BE - HW'!$E$4)*SUM(POZICIE_INTERNE!$I$41:$I$52))/POZICIE_INTERNE!$B$41*12,IF((POZICIE_INTERNE!$B$41-12*('TCO TO BE- SW'!$D159-1))&lt;0,0,(POZICIE_INTERNE!$B$41-12*('TCO TO BE- SW'!$D159-1))*((P$4+'TCO TO BE - HW'!P$4)/($E$4+'TCO TO BE - HW'!$E$4)*SUM(POZICIE_INTERNE!$I$41:$I$52))/POZICIE_INTERNE!$B$41)),0)+IFERROR(IF((EXTERNE_POZICIE!$B$41-12*('TCO TO BE- SW'!$D159-1))&gt;12,((P$4+'TCO TO BE - HW'!P$4)/($E$4+'TCO TO BE - HW'!$E$4)*SUM(EXTERNE_POZICIE!$M$41:$M$52)*1.23)/EXTERNE_POZICIE!$B$41*12,IF((EXTERNE_POZICIE!$B$41-12*('TCO TO BE- SW'!$D159-1))&lt;0,0,(EXTERNE_POZICIE!$B$41-12*('TCO TO BE- SW'!$D159-1))*((P$4+'TCO TO BE - HW'!P$4)/($E$4+'TCO TO BE - HW'!$E$4)*SUM(EXTERNE_POZICIE!$M$41:$M$52)*1.23)/EXTERNE_POZICIE!$B$41)),0)+IFERROR(SUM(#REF!)*'TCO TO BE- SW'!P$4/'TCO TO BE- SW'!$E$4,0)</f>
        <v>0</v>
      </c>
      <c r="Q159" s="574">
        <f>IFERROR(IF((POZICIE_INTERNE!$B$41-12*('TCO TO BE- SW'!$D159-1))&gt;12,((Q$4+'TCO TO BE - HW'!Q$4)/($E$4+'TCO TO BE - HW'!$E$4)*SUM(POZICIE_INTERNE!$I$41:$I$52))/POZICIE_INTERNE!$B$41*12,IF((POZICIE_INTERNE!$B$41-12*('TCO TO BE- SW'!$D159-1))&lt;0,0,(POZICIE_INTERNE!$B$41-12*('TCO TO BE- SW'!$D159-1))*((Q$4+'TCO TO BE - HW'!Q$4)/($E$4+'TCO TO BE - HW'!$E$4)*SUM(POZICIE_INTERNE!$I$41:$I$52))/POZICIE_INTERNE!$B$41)),0)+IFERROR(IF((EXTERNE_POZICIE!$B$41-12*('TCO TO BE- SW'!$D159-1))&gt;12,((Q$4+'TCO TO BE - HW'!Q$4)/($E$4+'TCO TO BE - HW'!$E$4)*SUM(EXTERNE_POZICIE!$M$41:$M$52)*1.23)/EXTERNE_POZICIE!$B$41*12,IF((EXTERNE_POZICIE!$B$41-12*('TCO TO BE- SW'!$D159-1))&lt;0,0,(EXTERNE_POZICIE!$B$41-12*('TCO TO BE- SW'!$D159-1))*((Q$4+'TCO TO BE - HW'!Q$4)/($E$4+'TCO TO BE - HW'!$E$4)*SUM(EXTERNE_POZICIE!$M$41:$M$52)*1.23)/EXTERNE_POZICIE!$B$41)),0)+IFERROR(SUM(#REF!)*'TCO TO BE- SW'!Q$4/'TCO TO BE- SW'!$E$4,0)</f>
        <v>0</v>
      </c>
      <c r="R159" s="574">
        <f>IFERROR(IF((POZICIE_INTERNE!$B$41-12*('TCO TO BE- SW'!$D159-1))&gt;12,((R$4+'TCO TO BE - HW'!R$4)/($E$4+'TCO TO BE - HW'!$E$4)*SUM(POZICIE_INTERNE!$I$41:$I$52))/POZICIE_INTERNE!$B$41*12,IF((POZICIE_INTERNE!$B$41-12*('TCO TO BE- SW'!$D159-1))&lt;0,0,(POZICIE_INTERNE!$B$41-12*('TCO TO BE- SW'!$D159-1))*((R$4+'TCO TO BE - HW'!R$4)/($E$4+'TCO TO BE - HW'!$E$4)*SUM(POZICIE_INTERNE!$I$41:$I$52))/POZICIE_INTERNE!$B$41)),0)+IFERROR(IF((EXTERNE_POZICIE!$B$41-12*('TCO TO BE- SW'!$D159-1))&gt;12,((R$4+'TCO TO BE - HW'!R$4)/($E$4+'TCO TO BE - HW'!$E$4)*SUM(EXTERNE_POZICIE!$M$41:$M$52)*1.23)/EXTERNE_POZICIE!$B$41*12,IF((EXTERNE_POZICIE!$B$41-12*('TCO TO BE- SW'!$D159-1))&lt;0,0,(EXTERNE_POZICIE!$B$41-12*('TCO TO BE- SW'!$D159-1))*((R$4+'TCO TO BE - HW'!R$4)/($E$4+'TCO TO BE - HW'!$E$4)*SUM(EXTERNE_POZICIE!$M$41:$M$52)*1.23)/EXTERNE_POZICIE!$B$41)),0)+IFERROR(SUM(#REF!)*'TCO TO BE- SW'!R$4/'TCO TO BE- SW'!$E$4,0)</f>
        <v>0</v>
      </c>
      <c r="S159" s="574">
        <f>IFERROR(IF((POZICIE_INTERNE!$B$41-12*('TCO TO BE- SW'!$D159-1))&gt;12,((S$4+'TCO TO BE - HW'!S$4)/($E$4+'TCO TO BE - HW'!$E$4)*SUM(POZICIE_INTERNE!$I$41:$I$52))/POZICIE_INTERNE!$B$41*12,IF((POZICIE_INTERNE!$B$41-12*('TCO TO BE- SW'!$D159-1))&lt;0,0,(POZICIE_INTERNE!$B$41-12*('TCO TO BE- SW'!$D159-1))*((S$4+'TCO TO BE - HW'!S$4)/($E$4+'TCO TO BE - HW'!$E$4)*SUM(POZICIE_INTERNE!$I$41:$I$52))/POZICIE_INTERNE!$B$41)),0)+IFERROR(IF((EXTERNE_POZICIE!$B$41-12*('TCO TO BE- SW'!$D159-1))&gt;12,((S$4+'TCO TO BE - HW'!S$4)/($E$4+'TCO TO BE - HW'!$E$4)*SUM(EXTERNE_POZICIE!$M$41:$M$52)*1.23)/EXTERNE_POZICIE!$B$41*12,IF((EXTERNE_POZICIE!$B$41-12*('TCO TO BE- SW'!$D159-1))&lt;0,0,(EXTERNE_POZICIE!$B$41-12*('TCO TO BE- SW'!$D159-1))*((S$4+'TCO TO BE - HW'!S$4)/($E$4+'TCO TO BE - HW'!$E$4)*SUM(EXTERNE_POZICIE!$M$41:$M$52)*1.23)/EXTERNE_POZICIE!$B$41)),0)+IFERROR(SUM(#REF!)*'TCO TO BE- SW'!S$4/'TCO TO BE- SW'!$E$4,0)</f>
        <v>0</v>
      </c>
      <c r="T159" s="574">
        <f>IFERROR(IF((POZICIE_INTERNE!$B$41-12*('TCO TO BE- SW'!$D159-1))&gt;12,((T$4+'TCO TO BE - HW'!T$4)/($E$4+'TCO TO BE - HW'!$E$4)*SUM(POZICIE_INTERNE!$I$41:$I$52))/POZICIE_INTERNE!$B$41*12,IF((POZICIE_INTERNE!$B$41-12*('TCO TO BE- SW'!$D159-1))&lt;0,0,(POZICIE_INTERNE!$B$41-12*('TCO TO BE- SW'!$D159-1))*((T$4+'TCO TO BE - HW'!T$4)/($E$4+'TCO TO BE - HW'!$E$4)*SUM(POZICIE_INTERNE!$I$41:$I$52))/POZICIE_INTERNE!$B$41)),0)+IFERROR(IF((EXTERNE_POZICIE!$B$41-12*('TCO TO BE- SW'!$D159-1))&gt;12,((T$4+'TCO TO BE - HW'!T$4)/($E$4+'TCO TO BE - HW'!$E$4)*SUM(EXTERNE_POZICIE!$M$41:$M$52)*1.23)/EXTERNE_POZICIE!$B$41*12,IF((EXTERNE_POZICIE!$B$41-12*('TCO TO BE- SW'!$D159-1))&lt;0,0,(EXTERNE_POZICIE!$B$41-12*('TCO TO BE- SW'!$D159-1))*((T$4+'TCO TO BE - HW'!T$4)/($E$4+'TCO TO BE - HW'!$E$4)*SUM(EXTERNE_POZICIE!$M$41:$M$52)*1.23)/EXTERNE_POZICIE!$B$41)),0)+IFERROR(SUM(#REF!)*'TCO TO BE- SW'!T$4/'TCO TO BE- SW'!$E$4,0)</f>
        <v>0</v>
      </c>
      <c r="U159" s="574">
        <f>IFERROR(IF((POZICIE_INTERNE!$B$41-12*('TCO TO BE- SW'!$D159-1))&gt;12,((U$4+'TCO TO BE - HW'!U$4)/($E$4+'TCO TO BE - HW'!$E$4)*SUM(POZICIE_INTERNE!$I$41:$I$52))/POZICIE_INTERNE!$B$41*12,IF((POZICIE_INTERNE!$B$41-12*('TCO TO BE- SW'!$D159-1))&lt;0,0,(POZICIE_INTERNE!$B$41-12*('TCO TO BE- SW'!$D159-1))*((U$4+'TCO TO BE - HW'!U$4)/($E$4+'TCO TO BE - HW'!$E$4)*SUM(POZICIE_INTERNE!$I$41:$I$52))/POZICIE_INTERNE!$B$41)),0)+IFERROR(IF((EXTERNE_POZICIE!$B$41-12*('TCO TO BE- SW'!$D159-1))&gt;12,((U$4+'TCO TO BE - HW'!U$4)/($E$4+'TCO TO BE - HW'!$E$4)*SUM(EXTERNE_POZICIE!$M$41:$M$52)*1.23)/EXTERNE_POZICIE!$B$41*12,IF((EXTERNE_POZICIE!$B$41-12*('TCO TO BE- SW'!$D159-1))&lt;0,0,(EXTERNE_POZICIE!$B$41-12*('TCO TO BE- SW'!$D159-1))*((U$4+'TCO TO BE - HW'!U$4)/($E$4+'TCO TO BE - HW'!$E$4)*SUM(EXTERNE_POZICIE!$M$41:$M$52)*1.23)/EXTERNE_POZICIE!$B$41)),0)+IFERROR(SUM(#REF!)*'TCO TO BE- SW'!U$4/'TCO TO BE- SW'!$E$4,0)</f>
        <v>0</v>
      </c>
      <c r="V159" s="574">
        <f>IFERROR(IF((POZICIE_INTERNE!$B$41-12*('TCO TO BE- SW'!$D159-1))&gt;12,((V$4+'TCO TO BE - HW'!V$4)/($E$4+'TCO TO BE - HW'!$E$4)*SUM(POZICIE_INTERNE!$I$41:$I$52))/POZICIE_INTERNE!$B$41*12,IF((POZICIE_INTERNE!$B$41-12*('TCO TO BE- SW'!$D159-1))&lt;0,0,(POZICIE_INTERNE!$B$41-12*('TCO TO BE- SW'!$D159-1))*((V$4+'TCO TO BE - HW'!V$4)/($E$4+'TCO TO BE - HW'!$E$4)*SUM(POZICIE_INTERNE!$I$41:$I$52))/POZICIE_INTERNE!$B$41)),0)+IFERROR(IF((EXTERNE_POZICIE!$B$41-12*('TCO TO BE- SW'!$D159-1))&gt;12,((V$4+'TCO TO BE - HW'!V$4)/($E$4+'TCO TO BE - HW'!$E$4)*SUM(EXTERNE_POZICIE!$M$41:$M$52)*1.23)/EXTERNE_POZICIE!$B$41*12,IF((EXTERNE_POZICIE!$B$41-12*('TCO TO BE- SW'!$D159-1))&lt;0,0,(EXTERNE_POZICIE!$B$41-12*('TCO TO BE- SW'!$D159-1))*((V$4+'TCO TO BE - HW'!V$4)/($E$4+'TCO TO BE - HW'!$E$4)*SUM(EXTERNE_POZICIE!$M$41:$M$52)*1.23)/EXTERNE_POZICIE!$B$41)),0)+IFERROR(SUM(#REF!)*'TCO TO BE- SW'!V$4/'TCO TO BE- SW'!$E$4,0)</f>
        <v>0</v>
      </c>
      <c r="W159" s="574">
        <f>IFERROR(IF((POZICIE_INTERNE!$B$41-12*('TCO TO BE- SW'!$D159-1))&gt;12,((W$4+'TCO TO BE - HW'!W$4)/($E$4+'TCO TO BE - HW'!$E$4)*SUM(POZICIE_INTERNE!$I$41:$I$52))/POZICIE_INTERNE!$B$41*12,IF((POZICIE_INTERNE!$B$41-12*('TCO TO BE- SW'!$D159-1))&lt;0,0,(POZICIE_INTERNE!$B$41-12*('TCO TO BE- SW'!$D159-1))*((W$4+'TCO TO BE - HW'!W$4)/($E$4+'TCO TO BE - HW'!$E$4)*SUM(POZICIE_INTERNE!$I$41:$I$52))/POZICIE_INTERNE!$B$41)),0)+IFERROR(IF((EXTERNE_POZICIE!$B$41-12*('TCO TO BE- SW'!$D159-1))&gt;12,((W$4+'TCO TO BE - HW'!W$4)/($E$4+'TCO TO BE - HW'!$E$4)*SUM(EXTERNE_POZICIE!$M$41:$M$52)*1.23)/EXTERNE_POZICIE!$B$41*12,IF((EXTERNE_POZICIE!$B$41-12*('TCO TO BE- SW'!$D159-1))&lt;0,0,(EXTERNE_POZICIE!$B$41-12*('TCO TO BE- SW'!$D159-1))*((W$4+'TCO TO BE - HW'!W$4)/($E$4+'TCO TO BE - HW'!$E$4)*SUM(EXTERNE_POZICIE!$M$41:$M$52)*1.23)/EXTERNE_POZICIE!$B$41)),0)+IFERROR(SUM(#REF!)*'TCO TO BE- SW'!W$4/'TCO TO BE- SW'!$E$4,0)</f>
        <v>0</v>
      </c>
      <c r="X159" s="574">
        <f>IFERROR(IF((POZICIE_INTERNE!$B$41-12*('TCO TO BE- SW'!$D159-1))&gt;12,((X$4+'TCO TO BE - HW'!X$4)/($E$4+'TCO TO BE - HW'!$E$4)*SUM(POZICIE_INTERNE!$I$41:$I$52))/POZICIE_INTERNE!$B$41*12,IF((POZICIE_INTERNE!$B$41-12*('TCO TO BE- SW'!$D159-1))&lt;0,0,(POZICIE_INTERNE!$B$41-12*('TCO TO BE- SW'!$D159-1))*((X$4+'TCO TO BE - HW'!X$4)/($E$4+'TCO TO BE - HW'!$E$4)*SUM(POZICIE_INTERNE!$I$41:$I$52))/POZICIE_INTERNE!$B$41)),0)+IFERROR(IF((EXTERNE_POZICIE!$B$41-12*('TCO TO BE- SW'!$D159-1))&gt;12,((X$4+'TCO TO BE - HW'!X$4)/($E$4+'TCO TO BE - HW'!$E$4)*SUM(EXTERNE_POZICIE!$M$41:$M$52)*1.23)/EXTERNE_POZICIE!$B$41*12,IF((EXTERNE_POZICIE!$B$41-12*('TCO TO BE- SW'!$D159-1))&lt;0,0,(EXTERNE_POZICIE!$B$41-12*('TCO TO BE- SW'!$D159-1))*((X$4+'TCO TO BE - HW'!X$4)/($E$4+'TCO TO BE - HW'!$E$4)*SUM(EXTERNE_POZICIE!$M$41:$M$52)*1.23)/EXTERNE_POZICIE!$B$41)),0)+IFERROR(SUM(#REF!)*'TCO TO BE- SW'!X$4/'TCO TO BE- SW'!$E$4,0)</f>
        <v>0</v>
      </c>
      <c r="Y159" s="574">
        <f>IFERROR(IF((POZICIE_INTERNE!$B$41-12*('TCO TO BE- SW'!$D159-1))&gt;12,((Y$4+'TCO TO BE - HW'!Y$4)/($E$4+'TCO TO BE - HW'!$E$4)*SUM(POZICIE_INTERNE!$I$41:$I$52))/POZICIE_INTERNE!$B$41*12,IF((POZICIE_INTERNE!$B$41-12*('TCO TO BE- SW'!$D159-1))&lt;0,0,(POZICIE_INTERNE!$B$41-12*('TCO TO BE- SW'!$D159-1))*((Y$4+'TCO TO BE - HW'!Y$4)/($E$4+'TCO TO BE - HW'!$E$4)*SUM(POZICIE_INTERNE!$I$41:$I$52))/POZICIE_INTERNE!$B$41)),0)+IFERROR(IF((EXTERNE_POZICIE!$B$41-12*('TCO TO BE- SW'!$D159-1))&gt;12,((Y$4+'TCO TO BE - HW'!Y$4)/($E$4+'TCO TO BE - HW'!$E$4)*SUM(EXTERNE_POZICIE!$M$41:$M$52)*1.23)/EXTERNE_POZICIE!$B$41*12,IF((EXTERNE_POZICIE!$B$41-12*('TCO TO BE- SW'!$D159-1))&lt;0,0,(EXTERNE_POZICIE!$B$41-12*('TCO TO BE- SW'!$D159-1))*((Y$4+'TCO TO BE - HW'!Y$4)/($E$4+'TCO TO BE - HW'!$E$4)*SUM(EXTERNE_POZICIE!$M$41:$M$52)*1.23)/EXTERNE_POZICIE!$B$41)),0)+IFERROR(SUM(#REF!)*'TCO TO BE- SW'!Y$4/'TCO TO BE- SW'!$E$4,0)</f>
        <v>0</v>
      </c>
      <c r="Z159" s="574">
        <f>IFERROR(IF((POZICIE_INTERNE!$B$41-12*('TCO TO BE- SW'!$D159-1))&gt;12,((Z$4+'TCO TO BE - HW'!Z$4)/($E$4+'TCO TO BE - HW'!$E$4)*SUM(POZICIE_INTERNE!$I$41:$I$52))/POZICIE_INTERNE!$B$41*12,IF((POZICIE_INTERNE!$B$41-12*('TCO TO BE- SW'!$D159-1))&lt;0,0,(POZICIE_INTERNE!$B$41-12*('TCO TO BE- SW'!$D159-1))*((Z$4+'TCO TO BE - HW'!Z$4)/($E$4+'TCO TO BE - HW'!$E$4)*SUM(POZICIE_INTERNE!$I$41:$I$52))/POZICIE_INTERNE!$B$41)),0)+IFERROR(IF((EXTERNE_POZICIE!$B$41-12*('TCO TO BE- SW'!$D159-1))&gt;12,((Z$4+'TCO TO BE - HW'!Z$4)/($E$4+'TCO TO BE - HW'!$E$4)*SUM(EXTERNE_POZICIE!$M$41:$M$52)*1.23)/EXTERNE_POZICIE!$B$41*12,IF((EXTERNE_POZICIE!$B$41-12*('TCO TO BE- SW'!$D159-1))&lt;0,0,(EXTERNE_POZICIE!$B$41-12*('TCO TO BE- SW'!$D159-1))*((Z$4+'TCO TO BE - HW'!Z$4)/($E$4+'TCO TO BE - HW'!$E$4)*SUM(EXTERNE_POZICIE!$M$41:$M$52)*1.23)/EXTERNE_POZICIE!$B$41)),0)+IFERROR(SUM(#REF!)*'TCO TO BE- SW'!Z$4/'TCO TO BE- SW'!$E$4,0)</f>
        <v>0</v>
      </c>
    </row>
    <row r="160" spans="1:26" ht="15.75" thickBot="1">
      <c r="A160" s="817"/>
      <c r="B160" s="818"/>
      <c r="C160" s="818"/>
      <c r="D160" s="65">
        <v>10</v>
      </c>
      <c r="E160" s="69">
        <f t="shared" si="16"/>
        <v>0</v>
      </c>
      <c r="F160" s="574">
        <f>IFERROR(IF((POZICIE_INTERNE!$B$41-12*('TCO TO BE- SW'!$D160-1))&gt;12,((F$4+'TCO TO BE - HW'!F$4)/($E$4+'TCO TO BE - HW'!$E$4)*SUM(POZICIE_INTERNE!$I$41:$I$52))/POZICIE_INTERNE!$B$41*12,IF((POZICIE_INTERNE!$B$41-12*('TCO TO BE- SW'!$D160-1))&lt;0,0,(POZICIE_INTERNE!$B$41-12*('TCO TO BE- SW'!$D160-1))*((F$4+'TCO TO BE - HW'!F$4)/($E$4+'TCO TO BE - HW'!$E$4)*SUM(POZICIE_INTERNE!$I$41:$I$52))/POZICIE_INTERNE!$B$41)),0)+IFERROR(IF((EXTERNE_POZICIE!$B$41-12*('TCO TO BE- SW'!$D160-1))&gt;12,((F$4+'TCO TO BE - HW'!F$4)/($E$4+'TCO TO BE - HW'!$E$4)*SUM(EXTERNE_POZICIE!$M$41:$M$52)*1.23)/EXTERNE_POZICIE!$B$41*12,IF((EXTERNE_POZICIE!$B$41-12*('TCO TO BE- SW'!$D160-1))&lt;0,0,(EXTERNE_POZICIE!$B$41-12*('TCO TO BE- SW'!$D160-1))*((F$4+'TCO TO BE - HW'!F$4)/($E$4+'TCO TO BE - HW'!$E$4)*SUM(EXTERNE_POZICIE!$M$41:$M$52)*1.23)/EXTERNE_POZICIE!$B$41)),0)+IFERROR(SUM(#REF!)*'TCO TO BE- SW'!F$4/'TCO TO BE- SW'!$E$4,0)</f>
        <v>0</v>
      </c>
      <c r="G160" s="574">
        <f>IFERROR(IF((POZICIE_INTERNE!$B$41-12*('TCO TO BE- SW'!$D160-1))&gt;12,((G$4+'TCO TO BE - HW'!G$4)/($E$4+'TCO TO BE - HW'!$E$4)*SUM(POZICIE_INTERNE!$I$41:$I$52))/POZICIE_INTERNE!$B$41*12,IF((POZICIE_INTERNE!$B$41-12*('TCO TO BE- SW'!$D160-1))&lt;0,0,(POZICIE_INTERNE!$B$41-12*('TCO TO BE- SW'!$D160-1))*((G$4+'TCO TO BE - HW'!G$4)/($E$4+'TCO TO BE - HW'!$E$4)*SUM(POZICIE_INTERNE!$I$41:$I$52))/POZICIE_INTERNE!$B$41)),0)+IFERROR(IF((EXTERNE_POZICIE!$B$41-12*('TCO TO BE- SW'!$D160-1))&gt;12,((G$4+'TCO TO BE - HW'!G$4)/($E$4+'TCO TO BE - HW'!$E$4)*SUM(EXTERNE_POZICIE!$M$41:$M$52)*1.23)/EXTERNE_POZICIE!$B$41*12,IF((EXTERNE_POZICIE!$B$41-12*('TCO TO BE- SW'!$D160-1))&lt;0,0,(EXTERNE_POZICIE!$B$41-12*('TCO TO BE- SW'!$D160-1))*((G$4+'TCO TO BE - HW'!G$4)/($E$4+'TCO TO BE - HW'!$E$4)*SUM(EXTERNE_POZICIE!$M$41:$M$52)*1.23)/EXTERNE_POZICIE!$B$41)),0)+IFERROR(SUM(#REF!)*'TCO TO BE- SW'!G$4/'TCO TO BE- SW'!$E$4,0)</f>
        <v>0</v>
      </c>
      <c r="H160" s="574">
        <f>IFERROR(IF((POZICIE_INTERNE!$B$41-12*('TCO TO BE- SW'!$D160-1))&gt;12,((H$4+'TCO TO BE - HW'!H$4)/($E$4+'TCO TO BE - HW'!$E$4)*SUM(POZICIE_INTERNE!$I$41:$I$52))/POZICIE_INTERNE!$B$41*12,IF((POZICIE_INTERNE!$B$41-12*('TCO TO BE- SW'!$D160-1))&lt;0,0,(POZICIE_INTERNE!$B$41-12*('TCO TO BE- SW'!$D160-1))*((H$4+'TCO TO BE - HW'!H$4)/($E$4+'TCO TO BE - HW'!$E$4)*SUM(POZICIE_INTERNE!$I$41:$I$52))/POZICIE_INTERNE!$B$41)),0)+IFERROR(IF((EXTERNE_POZICIE!$B$41-12*('TCO TO BE- SW'!$D160-1))&gt;12,((H$4+'TCO TO BE - HW'!H$4)/($E$4+'TCO TO BE - HW'!$E$4)*SUM(EXTERNE_POZICIE!$M$41:$M$52)*1.23)/EXTERNE_POZICIE!$B$41*12,IF((EXTERNE_POZICIE!$B$41-12*('TCO TO BE- SW'!$D160-1))&lt;0,0,(EXTERNE_POZICIE!$B$41-12*('TCO TO BE- SW'!$D160-1))*((H$4+'TCO TO BE - HW'!H$4)/($E$4+'TCO TO BE - HW'!$E$4)*SUM(EXTERNE_POZICIE!$M$41:$M$52)*1.23)/EXTERNE_POZICIE!$B$41)),0)+IFERROR(SUM(#REF!)*'TCO TO BE- SW'!H$4/'TCO TO BE- SW'!$E$4,0)</f>
        <v>0</v>
      </c>
      <c r="I160" s="574">
        <f>IFERROR(IF((POZICIE_INTERNE!$B$41-12*('TCO TO BE- SW'!$D160-1))&gt;12,((I$4+'TCO TO BE - HW'!I$4)/($E$4+'TCO TO BE - HW'!$E$4)*SUM(POZICIE_INTERNE!$I$41:$I$52))/POZICIE_INTERNE!$B$41*12,IF((POZICIE_INTERNE!$B$41-12*('TCO TO BE- SW'!$D160-1))&lt;0,0,(POZICIE_INTERNE!$B$41-12*('TCO TO BE- SW'!$D160-1))*((I$4+'TCO TO BE - HW'!I$4)/($E$4+'TCO TO BE - HW'!$E$4)*SUM(POZICIE_INTERNE!$I$41:$I$52))/POZICIE_INTERNE!$B$41)),0)+IFERROR(IF((EXTERNE_POZICIE!$B$41-12*('TCO TO BE- SW'!$D160-1))&gt;12,((I$4+'TCO TO BE - HW'!I$4)/($E$4+'TCO TO BE - HW'!$E$4)*SUM(EXTERNE_POZICIE!$M$41:$M$52)*1.23)/EXTERNE_POZICIE!$B$41*12,IF((EXTERNE_POZICIE!$B$41-12*('TCO TO BE- SW'!$D160-1))&lt;0,0,(EXTERNE_POZICIE!$B$41-12*('TCO TO BE- SW'!$D160-1))*((I$4+'TCO TO BE - HW'!I$4)/($E$4+'TCO TO BE - HW'!$E$4)*SUM(EXTERNE_POZICIE!$M$41:$M$52)*1.23)/EXTERNE_POZICIE!$B$41)),0)+IFERROR(SUM(#REF!)*'TCO TO BE- SW'!I$4/'TCO TO BE- SW'!$E$4,0)</f>
        <v>0</v>
      </c>
      <c r="J160" s="574">
        <f>IFERROR(IF((POZICIE_INTERNE!$B$41-12*('TCO TO BE- SW'!$D160-1))&gt;12,((J$4+'TCO TO BE - HW'!J$4)/($E$4+'TCO TO BE - HW'!$E$4)*SUM(POZICIE_INTERNE!$I$41:$I$52))/POZICIE_INTERNE!$B$41*12,IF((POZICIE_INTERNE!$B$41-12*('TCO TO BE- SW'!$D160-1))&lt;0,0,(POZICIE_INTERNE!$B$41-12*('TCO TO BE- SW'!$D160-1))*((J$4+'TCO TO BE - HW'!J$4)/($E$4+'TCO TO BE - HW'!$E$4)*SUM(POZICIE_INTERNE!$I$41:$I$52))/POZICIE_INTERNE!$B$41)),0)+IFERROR(IF((EXTERNE_POZICIE!$B$41-12*('TCO TO BE- SW'!$D160-1))&gt;12,((J$4+'TCO TO BE - HW'!J$4)/($E$4+'TCO TO BE - HW'!$E$4)*SUM(EXTERNE_POZICIE!$M$41:$M$52)*1.23)/EXTERNE_POZICIE!$B$41*12,IF((EXTERNE_POZICIE!$B$41-12*('TCO TO BE- SW'!$D160-1))&lt;0,0,(EXTERNE_POZICIE!$B$41-12*('TCO TO BE- SW'!$D160-1))*((J$4+'TCO TO BE - HW'!J$4)/($E$4+'TCO TO BE - HW'!$E$4)*SUM(EXTERNE_POZICIE!$M$41:$M$52)*1.23)/EXTERNE_POZICIE!$B$41)),0)+IFERROR(SUM(#REF!)*'TCO TO BE- SW'!J$4/'TCO TO BE- SW'!$E$4,0)</f>
        <v>0</v>
      </c>
      <c r="K160" s="574">
        <f>IFERROR(IF((POZICIE_INTERNE!$B$41-12*('TCO TO BE- SW'!$D160-1))&gt;12,((K$4+'TCO TO BE - HW'!K$4)/($E$4+'TCO TO BE - HW'!$E$4)*SUM(POZICIE_INTERNE!$I$41:$I$52))/POZICIE_INTERNE!$B$41*12,IF((POZICIE_INTERNE!$B$41-12*('TCO TO BE- SW'!$D160-1))&lt;0,0,(POZICIE_INTERNE!$B$41-12*('TCO TO BE- SW'!$D160-1))*((K$4+'TCO TO BE - HW'!K$4)/($E$4+'TCO TO BE - HW'!$E$4)*SUM(POZICIE_INTERNE!$I$41:$I$52))/POZICIE_INTERNE!$B$41)),0)+IFERROR(IF((EXTERNE_POZICIE!$B$41-12*('TCO TO BE- SW'!$D160-1))&gt;12,((K$4+'TCO TO BE - HW'!K$4)/($E$4+'TCO TO BE - HW'!$E$4)*SUM(EXTERNE_POZICIE!$M$41:$M$52)*1.23)/EXTERNE_POZICIE!$B$41*12,IF((EXTERNE_POZICIE!$B$41-12*('TCO TO BE- SW'!$D160-1))&lt;0,0,(EXTERNE_POZICIE!$B$41-12*('TCO TO BE- SW'!$D160-1))*((K$4+'TCO TO BE - HW'!K$4)/($E$4+'TCO TO BE - HW'!$E$4)*SUM(EXTERNE_POZICIE!$M$41:$M$52)*1.23)/EXTERNE_POZICIE!$B$41)),0)+IFERROR(SUM(#REF!)*'TCO TO BE- SW'!K$4/'TCO TO BE- SW'!$E$4,0)</f>
        <v>0</v>
      </c>
      <c r="L160" s="574">
        <f>IFERROR(IF((POZICIE_INTERNE!$B$41-12*('TCO TO BE- SW'!$D160-1))&gt;12,((L$4+'TCO TO BE - HW'!L$4)/($E$4+'TCO TO BE - HW'!$E$4)*SUM(POZICIE_INTERNE!$I$41:$I$52))/POZICIE_INTERNE!$B$41*12,IF((POZICIE_INTERNE!$B$41-12*('TCO TO BE- SW'!$D160-1))&lt;0,0,(POZICIE_INTERNE!$B$41-12*('TCO TO BE- SW'!$D160-1))*((L$4+'TCO TO BE - HW'!L$4)/($E$4+'TCO TO BE - HW'!$E$4)*SUM(POZICIE_INTERNE!$I$41:$I$52))/POZICIE_INTERNE!$B$41)),0)+IFERROR(IF((EXTERNE_POZICIE!$B$41-12*('TCO TO BE- SW'!$D160-1))&gt;12,((L$4+'TCO TO BE - HW'!L$4)/($E$4+'TCO TO BE - HW'!$E$4)*SUM(EXTERNE_POZICIE!$M$41:$M$52)*1.23)/EXTERNE_POZICIE!$B$41*12,IF((EXTERNE_POZICIE!$B$41-12*('TCO TO BE- SW'!$D160-1))&lt;0,0,(EXTERNE_POZICIE!$B$41-12*('TCO TO BE- SW'!$D160-1))*((L$4+'TCO TO BE - HW'!L$4)/($E$4+'TCO TO BE - HW'!$E$4)*SUM(EXTERNE_POZICIE!$M$41:$M$52)*1.23)/EXTERNE_POZICIE!$B$41)),0)+IFERROR(SUM(#REF!)*'TCO TO BE- SW'!L$4/'TCO TO BE- SW'!$E$4,0)</f>
        <v>0</v>
      </c>
      <c r="M160" s="574">
        <f>IFERROR(IF((POZICIE_INTERNE!$B$41-12*('TCO TO BE- SW'!$D160-1))&gt;12,((M$4+'TCO TO BE - HW'!M$4)/($E$4+'TCO TO BE - HW'!$E$4)*SUM(POZICIE_INTERNE!$I$41:$I$52))/POZICIE_INTERNE!$B$41*12,IF((POZICIE_INTERNE!$B$41-12*('TCO TO BE- SW'!$D160-1))&lt;0,0,(POZICIE_INTERNE!$B$41-12*('TCO TO BE- SW'!$D160-1))*((M$4+'TCO TO BE - HW'!M$4)/($E$4+'TCO TO BE - HW'!$E$4)*SUM(POZICIE_INTERNE!$I$41:$I$52))/POZICIE_INTERNE!$B$41)),0)+IFERROR(IF((EXTERNE_POZICIE!$B$41-12*('TCO TO BE- SW'!$D160-1))&gt;12,((M$4+'TCO TO BE - HW'!M$4)/($E$4+'TCO TO BE - HW'!$E$4)*SUM(EXTERNE_POZICIE!$M$41:$M$52)*1.23)/EXTERNE_POZICIE!$B$41*12,IF((EXTERNE_POZICIE!$B$41-12*('TCO TO BE- SW'!$D160-1))&lt;0,0,(EXTERNE_POZICIE!$B$41-12*('TCO TO BE- SW'!$D160-1))*((M$4+'TCO TO BE - HW'!M$4)/($E$4+'TCO TO BE - HW'!$E$4)*SUM(EXTERNE_POZICIE!$M$41:$M$52)*1.23)/EXTERNE_POZICIE!$B$41)),0)+IFERROR(SUM(#REF!)*'TCO TO BE- SW'!M$4/'TCO TO BE- SW'!$E$4,0)</f>
        <v>0</v>
      </c>
      <c r="N160" s="574">
        <f>IFERROR(IF((POZICIE_INTERNE!$B$41-12*('TCO TO BE- SW'!$D160-1))&gt;12,((N$4+'TCO TO BE - HW'!N$4)/($E$4+'TCO TO BE - HW'!$E$4)*SUM(POZICIE_INTERNE!$I$41:$I$52))/POZICIE_INTERNE!$B$41*12,IF((POZICIE_INTERNE!$B$41-12*('TCO TO BE- SW'!$D160-1))&lt;0,0,(POZICIE_INTERNE!$B$41-12*('TCO TO BE- SW'!$D160-1))*((N$4+'TCO TO BE - HW'!N$4)/($E$4+'TCO TO BE - HW'!$E$4)*SUM(POZICIE_INTERNE!$I$41:$I$52))/POZICIE_INTERNE!$B$41)),0)+IFERROR(IF((EXTERNE_POZICIE!$B$41-12*('TCO TO BE- SW'!$D160-1))&gt;12,((N$4+'TCO TO BE - HW'!N$4)/($E$4+'TCO TO BE - HW'!$E$4)*SUM(EXTERNE_POZICIE!$M$41:$M$52)*1.23)/EXTERNE_POZICIE!$B$41*12,IF((EXTERNE_POZICIE!$B$41-12*('TCO TO BE- SW'!$D160-1))&lt;0,0,(EXTERNE_POZICIE!$B$41-12*('TCO TO BE- SW'!$D160-1))*((N$4+'TCO TO BE - HW'!N$4)/($E$4+'TCO TO BE - HW'!$E$4)*SUM(EXTERNE_POZICIE!$M$41:$M$52)*1.23)/EXTERNE_POZICIE!$B$41)),0)+IFERROR(SUM(#REF!)*'TCO TO BE- SW'!N$4/'TCO TO BE- SW'!$E$4,0)</f>
        <v>0</v>
      </c>
      <c r="O160" s="574">
        <f>IFERROR(IF((POZICIE_INTERNE!$B$41-12*('TCO TO BE- SW'!$D160-1))&gt;12,((O$4+'TCO TO BE - HW'!O$4)/($E$4+'TCO TO BE - HW'!$E$4)*SUM(POZICIE_INTERNE!$I$41:$I$52))/POZICIE_INTERNE!$B$41*12,IF((POZICIE_INTERNE!$B$41-12*('TCO TO BE- SW'!$D160-1))&lt;0,0,(POZICIE_INTERNE!$B$41-12*('TCO TO BE- SW'!$D160-1))*((O$4+'TCO TO BE - HW'!O$4)/($E$4+'TCO TO BE - HW'!$E$4)*SUM(POZICIE_INTERNE!$I$41:$I$52))/POZICIE_INTERNE!$B$41)),0)+IFERROR(IF((EXTERNE_POZICIE!$B$41-12*('TCO TO BE- SW'!$D160-1))&gt;12,((O$4+'TCO TO BE - HW'!O$4)/($E$4+'TCO TO BE - HW'!$E$4)*SUM(EXTERNE_POZICIE!$M$41:$M$52)*1.23)/EXTERNE_POZICIE!$B$41*12,IF((EXTERNE_POZICIE!$B$41-12*('TCO TO BE- SW'!$D160-1))&lt;0,0,(EXTERNE_POZICIE!$B$41-12*('TCO TO BE- SW'!$D160-1))*((O$4+'TCO TO BE - HW'!O$4)/($E$4+'TCO TO BE - HW'!$E$4)*SUM(EXTERNE_POZICIE!$M$41:$M$52)*1.23)/EXTERNE_POZICIE!$B$41)),0)+IFERROR(SUM(#REF!)*'TCO TO BE- SW'!O$4/'TCO TO BE- SW'!$E$4,0)</f>
        <v>0</v>
      </c>
      <c r="P160" s="574">
        <f>IFERROR(IF((POZICIE_INTERNE!$B$41-12*('TCO TO BE- SW'!$D160-1))&gt;12,((P$4+'TCO TO BE - HW'!P$4)/($E$4+'TCO TO BE - HW'!$E$4)*SUM(POZICIE_INTERNE!$I$41:$I$52))/POZICIE_INTERNE!$B$41*12,IF((POZICIE_INTERNE!$B$41-12*('TCO TO BE- SW'!$D160-1))&lt;0,0,(POZICIE_INTERNE!$B$41-12*('TCO TO BE- SW'!$D160-1))*((P$4+'TCO TO BE - HW'!P$4)/($E$4+'TCO TO BE - HW'!$E$4)*SUM(POZICIE_INTERNE!$I$41:$I$52))/POZICIE_INTERNE!$B$41)),0)+IFERROR(IF((EXTERNE_POZICIE!$B$41-12*('TCO TO BE- SW'!$D160-1))&gt;12,((P$4+'TCO TO BE - HW'!P$4)/($E$4+'TCO TO BE - HW'!$E$4)*SUM(EXTERNE_POZICIE!$M$41:$M$52)*1.23)/EXTERNE_POZICIE!$B$41*12,IF((EXTERNE_POZICIE!$B$41-12*('TCO TO BE- SW'!$D160-1))&lt;0,0,(EXTERNE_POZICIE!$B$41-12*('TCO TO BE- SW'!$D160-1))*((P$4+'TCO TO BE - HW'!P$4)/($E$4+'TCO TO BE - HW'!$E$4)*SUM(EXTERNE_POZICIE!$M$41:$M$52)*1.23)/EXTERNE_POZICIE!$B$41)),0)+IFERROR(SUM(#REF!)*'TCO TO BE- SW'!P$4/'TCO TO BE- SW'!$E$4,0)</f>
        <v>0</v>
      </c>
      <c r="Q160" s="574">
        <f>IFERROR(IF((POZICIE_INTERNE!$B$41-12*('TCO TO BE- SW'!$D160-1))&gt;12,((Q$4+'TCO TO BE - HW'!Q$4)/($E$4+'TCO TO BE - HW'!$E$4)*SUM(POZICIE_INTERNE!$I$41:$I$52))/POZICIE_INTERNE!$B$41*12,IF((POZICIE_INTERNE!$B$41-12*('TCO TO BE- SW'!$D160-1))&lt;0,0,(POZICIE_INTERNE!$B$41-12*('TCO TO BE- SW'!$D160-1))*((Q$4+'TCO TO BE - HW'!Q$4)/($E$4+'TCO TO BE - HW'!$E$4)*SUM(POZICIE_INTERNE!$I$41:$I$52))/POZICIE_INTERNE!$B$41)),0)+IFERROR(IF((EXTERNE_POZICIE!$B$41-12*('TCO TO BE- SW'!$D160-1))&gt;12,((Q$4+'TCO TO BE - HW'!Q$4)/($E$4+'TCO TO BE - HW'!$E$4)*SUM(EXTERNE_POZICIE!$M$41:$M$52)*1.23)/EXTERNE_POZICIE!$B$41*12,IF((EXTERNE_POZICIE!$B$41-12*('TCO TO BE- SW'!$D160-1))&lt;0,0,(EXTERNE_POZICIE!$B$41-12*('TCO TO BE- SW'!$D160-1))*((Q$4+'TCO TO BE - HW'!Q$4)/($E$4+'TCO TO BE - HW'!$E$4)*SUM(EXTERNE_POZICIE!$M$41:$M$52)*1.23)/EXTERNE_POZICIE!$B$41)),0)+IFERROR(SUM(#REF!)*'TCO TO BE- SW'!Q$4/'TCO TO BE- SW'!$E$4,0)</f>
        <v>0</v>
      </c>
      <c r="R160" s="574">
        <f>IFERROR(IF((POZICIE_INTERNE!$B$41-12*('TCO TO BE- SW'!$D160-1))&gt;12,((R$4+'TCO TO BE - HW'!R$4)/($E$4+'TCO TO BE - HW'!$E$4)*SUM(POZICIE_INTERNE!$I$41:$I$52))/POZICIE_INTERNE!$B$41*12,IF((POZICIE_INTERNE!$B$41-12*('TCO TO BE- SW'!$D160-1))&lt;0,0,(POZICIE_INTERNE!$B$41-12*('TCO TO BE- SW'!$D160-1))*((R$4+'TCO TO BE - HW'!R$4)/($E$4+'TCO TO BE - HW'!$E$4)*SUM(POZICIE_INTERNE!$I$41:$I$52))/POZICIE_INTERNE!$B$41)),0)+IFERROR(IF((EXTERNE_POZICIE!$B$41-12*('TCO TO BE- SW'!$D160-1))&gt;12,((R$4+'TCO TO BE - HW'!R$4)/($E$4+'TCO TO BE - HW'!$E$4)*SUM(EXTERNE_POZICIE!$M$41:$M$52)*1.23)/EXTERNE_POZICIE!$B$41*12,IF((EXTERNE_POZICIE!$B$41-12*('TCO TO BE- SW'!$D160-1))&lt;0,0,(EXTERNE_POZICIE!$B$41-12*('TCO TO BE- SW'!$D160-1))*((R$4+'TCO TO BE - HW'!R$4)/($E$4+'TCO TO BE - HW'!$E$4)*SUM(EXTERNE_POZICIE!$M$41:$M$52)*1.23)/EXTERNE_POZICIE!$B$41)),0)+IFERROR(SUM(#REF!)*'TCO TO BE- SW'!R$4/'TCO TO BE- SW'!$E$4,0)</f>
        <v>0</v>
      </c>
      <c r="S160" s="574">
        <f>IFERROR(IF((POZICIE_INTERNE!$B$41-12*('TCO TO BE- SW'!$D160-1))&gt;12,((S$4+'TCO TO BE - HW'!S$4)/($E$4+'TCO TO BE - HW'!$E$4)*SUM(POZICIE_INTERNE!$I$41:$I$52))/POZICIE_INTERNE!$B$41*12,IF((POZICIE_INTERNE!$B$41-12*('TCO TO BE- SW'!$D160-1))&lt;0,0,(POZICIE_INTERNE!$B$41-12*('TCO TO BE- SW'!$D160-1))*((S$4+'TCO TO BE - HW'!S$4)/($E$4+'TCO TO BE - HW'!$E$4)*SUM(POZICIE_INTERNE!$I$41:$I$52))/POZICIE_INTERNE!$B$41)),0)+IFERROR(IF((EXTERNE_POZICIE!$B$41-12*('TCO TO BE- SW'!$D160-1))&gt;12,((S$4+'TCO TO BE - HW'!S$4)/($E$4+'TCO TO BE - HW'!$E$4)*SUM(EXTERNE_POZICIE!$M$41:$M$52)*1.23)/EXTERNE_POZICIE!$B$41*12,IF((EXTERNE_POZICIE!$B$41-12*('TCO TO BE- SW'!$D160-1))&lt;0,0,(EXTERNE_POZICIE!$B$41-12*('TCO TO BE- SW'!$D160-1))*((S$4+'TCO TO BE - HW'!S$4)/($E$4+'TCO TO BE - HW'!$E$4)*SUM(EXTERNE_POZICIE!$M$41:$M$52)*1.23)/EXTERNE_POZICIE!$B$41)),0)+IFERROR(SUM(#REF!)*'TCO TO BE- SW'!S$4/'TCO TO BE- SW'!$E$4,0)</f>
        <v>0</v>
      </c>
      <c r="T160" s="574">
        <f>IFERROR(IF((POZICIE_INTERNE!$B$41-12*('TCO TO BE- SW'!$D160-1))&gt;12,((T$4+'TCO TO BE - HW'!T$4)/($E$4+'TCO TO BE - HW'!$E$4)*SUM(POZICIE_INTERNE!$I$41:$I$52))/POZICIE_INTERNE!$B$41*12,IF((POZICIE_INTERNE!$B$41-12*('TCO TO BE- SW'!$D160-1))&lt;0,0,(POZICIE_INTERNE!$B$41-12*('TCO TO BE- SW'!$D160-1))*((T$4+'TCO TO BE - HW'!T$4)/($E$4+'TCO TO BE - HW'!$E$4)*SUM(POZICIE_INTERNE!$I$41:$I$52))/POZICIE_INTERNE!$B$41)),0)+IFERROR(IF((EXTERNE_POZICIE!$B$41-12*('TCO TO BE- SW'!$D160-1))&gt;12,((T$4+'TCO TO BE - HW'!T$4)/($E$4+'TCO TO BE - HW'!$E$4)*SUM(EXTERNE_POZICIE!$M$41:$M$52)*1.23)/EXTERNE_POZICIE!$B$41*12,IF((EXTERNE_POZICIE!$B$41-12*('TCO TO BE- SW'!$D160-1))&lt;0,0,(EXTERNE_POZICIE!$B$41-12*('TCO TO BE- SW'!$D160-1))*((T$4+'TCO TO BE - HW'!T$4)/($E$4+'TCO TO BE - HW'!$E$4)*SUM(EXTERNE_POZICIE!$M$41:$M$52)*1.23)/EXTERNE_POZICIE!$B$41)),0)+IFERROR(SUM(#REF!)*'TCO TO BE- SW'!T$4/'TCO TO BE- SW'!$E$4,0)</f>
        <v>0</v>
      </c>
      <c r="U160" s="574">
        <f>IFERROR(IF((POZICIE_INTERNE!$B$41-12*('TCO TO BE- SW'!$D160-1))&gt;12,((U$4+'TCO TO BE - HW'!U$4)/($E$4+'TCO TO BE - HW'!$E$4)*SUM(POZICIE_INTERNE!$I$41:$I$52))/POZICIE_INTERNE!$B$41*12,IF((POZICIE_INTERNE!$B$41-12*('TCO TO BE- SW'!$D160-1))&lt;0,0,(POZICIE_INTERNE!$B$41-12*('TCO TO BE- SW'!$D160-1))*((U$4+'TCO TO BE - HW'!U$4)/($E$4+'TCO TO BE - HW'!$E$4)*SUM(POZICIE_INTERNE!$I$41:$I$52))/POZICIE_INTERNE!$B$41)),0)+IFERROR(IF((EXTERNE_POZICIE!$B$41-12*('TCO TO BE- SW'!$D160-1))&gt;12,((U$4+'TCO TO BE - HW'!U$4)/($E$4+'TCO TO BE - HW'!$E$4)*SUM(EXTERNE_POZICIE!$M$41:$M$52)*1.23)/EXTERNE_POZICIE!$B$41*12,IF((EXTERNE_POZICIE!$B$41-12*('TCO TO BE- SW'!$D160-1))&lt;0,0,(EXTERNE_POZICIE!$B$41-12*('TCO TO BE- SW'!$D160-1))*((U$4+'TCO TO BE - HW'!U$4)/($E$4+'TCO TO BE - HW'!$E$4)*SUM(EXTERNE_POZICIE!$M$41:$M$52)*1.23)/EXTERNE_POZICIE!$B$41)),0)+IFERROR(SUM(#REF!)*'TCO TO BE- SW'!U$4/'TCO TO BE- SW'!$E$4,0)</f>
        <v>0</v>
      </c>
      <c r="V160" s="574">
        <f>IFERROR(IF((POZICIE_INTERNE!$B$41-12*('TCO TO BE- SW'!$D160-1))&gt;12,((V$4+'TCO TO BE - HW'!V$4)/($E$4+'TCO TO BE - HW'!$E$4)*SUM(POZICIE_INTERNE!$I$41:$I$52))/POZICIE_INTERNE!$B$41*12,IF((POZICIE_INTERNE!$B$41-12*('TCO TO BE- SW'!$D160-1))&lt;0,0,(POZICIE_INTERNE!$B$41-12*('TCO TO BE- SW'!$D160-1))*((V$4+'TCO TO BE - HW'!V$4)/($E$4+'TCO TO BE - HW'!$E$4)*SUM(POZICIE_INTERNE!$I$41:$I$52))/POZICIE_INTERNE!$B$41)),0)+IFERROR(IF((EXTERNE_POZICIE!$B$41-12*('TCO TO BE- SW'!$D160-1))&gt;12,((V$4+'TCO TO BE - HW'!V$4)/($E$4+'TCO TO BE - HW'!$E$4)*SUM(EXTERNE_POZICIE!$M$41:$M$52)*1.23)/EXTERNE_POZICIE!$B$41*12,IF((EXTERNE_POZICIE!$B$41-12*('TCO TO BE- SW'!$D160-1))&lt;0,0,(EXTERNE_POZICIE!$B$41-12*('TCO TO BE- SW'!$D160-1))*((V$4+'TCO TO BE - HW'!V$4)/($E$4+'TCO TO BE - HW'!$E$4)*SUM(EXTERNE_POZICIE!$M$41:$M$52)*1.23)/EXTERNE_POZICIE!$B$41)),0)+IFERROR(SUM(#REF!)*'TCO TO BE- SW'!V$4/'TCO TO BE- SW'!$E$4,0)</f>
        <v>0</v>
      </c>
      <c r="W160" s="574">
        <f>IFERROR(IF((POZICIE_INTERNE!$B$41-12*('TCO TO BE- SW'!$D160-1))&gt;12,((W$4+'TCO TO BE - HW'!W$4)/($E$4+'TCO TO BE - HW'!$E$4)*SUM(POZICIE_INTERNE!$I$41:$I$52))/POZICIE_INTERNE!$B$41*12,IF((POZICIE_INTERNE!$B$41-12*('TCO TO BE- SW'!$D160-1))&lt;0,0,(POZICIE_INTERNE!$B$41-12*('TCO TO BE- SW'!$D160-1))*((W$4+'TCO TO BE - HW'!W$4)/($E$4+'TCO TO BE - HW'!$E$4)*SUM(POZICIE_INTERNE!$I$41:$I$52))/POZICIE_INTERNE!$B$41)),0)+IFERROR(IF((EXTERNE_POZICIE!$B$41-12*('TCO TO BE- SW'!$D160-1))&gt;12,((W$4+'TCO TO BE - HW'!W$4)/($E$4+'TCO TO BE - HW'!$E$4)*SUM(EXTERNE_POZICIE!$M$41:$M$52)*1.23)/EXTERNE_POZICIE!$B$41*12,IF((EXTERNE_POZICIE!$B$41-12*('TCO TO BE- SW'!$D160-1))&lt;0,0,(EXTERNE_POZICIE!$B$41-12*('TCO TO BE- SW'!$D160-1))*((W$4+'TCO TO BE - HW'!W$4)/($E$4+'TCO TO BE - HW'!$E$4)*SUM(EXTERNE_POZICIE!$M$41:$M$52)*1.23)/EXTERNE_POZICIE!$B$41)),0)+IFERROR(SUM(#REF!)*'TCO TO BE- SW'!W$4/'TCO TO BE- SW'!$E$4,0)</f>
        <v>0</v>
      </c>
      <c r="X160" s="574">
        <f>IFERROR(IF((POZICIE_INTERNE!$B$41-12*('TCO TO BE- SW'!$D160-1))&gt;12,((X$4+'TCO TO BE - HW'!X$4)/($E$4+'TCO TO BE - HW'!$E$4)*SUM(POZICIE_INTERNE!$I$41:$I$52))/POZICIE_INTERNE!$B$41*12,IF((POZICIE_INTERNE!$B$41-12*('TCO TO BE- SW'!$D160-1))&lt;0,0,(POZICIE_INTERNE!$B$41-12*('TCO TO BE- SW'!$D160-1))*((X$4+'TCO TO BE - HW'!X$4)/($E$4+'TCO TO BE - HW'!$E$4)*SUM(POZICIE_INTERNE!$I$41:$I$52))/POZICIE_INTERNE!$B$41)),0)+IFERROR(IF((EXTERNE_POZICIE!$B$41-12*('TCO TO BE- SW'!$D160-1))&gt;12,((X$4+'TCO TO BE - HW'!X$4)/($E$4+'TCO TO BE - HW'!$E$4)*SUM(EXTERNE_POZICIE!$M$41:$M$52)*1.23)/EXTERNE_POZICIE!$B$41*12,IF((EXTERNE_POZICIE!$B$41-12*('TCO TO BE- SW'!$D160-1))&lt;0,0,(EXTERNE_POZICIE!$B$41-12*('TCO TO BE- SW'!$D160-1))*((X$4+'TCO TO BE - HW'!X$4)/($E$4+'TCO TO BE - HW'!$E$4)*SUM(EXTERNE_POZICIE!$M$41:$M$52)*1.23)/EXTERNE_POZICIE!$B$41)),0)+IFERROR(SUM(#REF!)*'TCO TO BE- SW'!X$4/'TCO TO BE- SW'!$E$4,0)</f>
        <v>0</v>
      </c>
      <c r="Y160" s="574">
        <f>IFERROR(IF((POZICIE_INTERNE!$B$41-12*('TCO TO BE- SW'!$D160-1))&gt;12,((Y$4+'TCO TO BE - HW'!Y$4)/($E$4+'TCO TO BE - HW'!$E$4)*SUM(POZICIE_INTERNE!$I$41:$I$52))/POZICIE_INTERNE!$B$41*12,IF((POZICIE_INTERNE!$B$41-12*('TCO TO BE- SW'!$D160-1))&lt;0,0,(POZICIE_INTERNE!$B$41-12*('TCO TO BE- SW'!$D160-1))*((Y$4+'TCO TO BE - HW'!Y$4)/($E$4+'TCO TO BE - HW'!$E$4)*SUM(POZICIE_INTERNE!$I$41:$I$52))/POZICIE_INTERNE!$B$41)),0)+IFERROR(IF((EXTERNE_POZICIE!$B$41-12*('TCO TO BE- SW'!$D160-1))&gt;12,((Y$4+'TCO TO BE - HW'!Y$4)/($E$4+'TCO TO BE - HW'!$E$4)*SUM(EXTERNE_POZICIE!$M$41:$M$52)*1.23)/EXTERNE_POZICIE!$B$41*12,IF((EXTERNE_POZICIE!$B$41-12*('TCO TO BE- SW'!$D160-1))&lt;0,0,(EXTERNE_POZICIE!$B$41-12*('TCO TO BE- SW'!$D160-1))*((Y$4+'TCO TO BE - HW'!Y$4)/($E$4+'TCO TO BE - HW'!$E$4)*SUM(EXTERNE_POZICIE!$M$41:$M$52)*1.23)/EXTERNE_POZICIE!$B$41)),0)+IFERROR(SUM(#REF!)*'TCO TO BE- SW'!Y$4/'TCO TO BE- SW'!$E$4,0)</f>
        <v>0</v>
      </c>
      <c r="Z160" s="574">
        <f>IFERROR(IF((POZICIE_INTERNE!$B$41-12*('TCO TO BE- SW'!$D160-1))&gt;12,((Z$4+'TCO TO BE - HW'!Z$4)/($E$4+'TCO TO BE - HW'!$E$4)*SUM(POZICIE_INTERNE!$I$41:$I$52))/POZICIE_INTERNE!$B$41*12,IF((POZICIE_INTERNE!$B$41-12*('TCO TO BE- SW'!$D160-1))&lt;0,0,(POZICIE_INTERNE!$B$41-12*('TCO TO BE- SW'!$D160-1))*((Z$4+'TCO TO BE - HW'!Z$4)/($E$4+'TCO TO BE - HW'!$E$4)*SUM(POZICIE_INTERNE!$I$41:$I$52))/POZICIE_INTERNE!$B$41)),0)+IFERROR(IF((EXTERNE_POZICIE!$B$41-12*('TCO TO BE- SW'!$D160-1))&gt;12,((Z$4+'TCO TO BE - HW'!Z$4)/($E$4+'TCO TO BE - HW'!$E$4)*SUM(EXTERNE_POZICIE!$M$41:$M$52)*1.23)/EXTERNE_POZICIE!$B$41*12,IF((EXTERNE_POZICIE!$B$41-12*('TCO TO BE- SW'!$D160-1))&lt;0,0,(EXTERNE_POZICIE!$B$41-12*('TCO TO BE- SW'!$D160-1))*((Z$4+'TCO TO BE - HW'!Z$4)/($E$4+'TCO TO BE - HW'!$E$4)*SUM(EXTERNE_POZICIE!$M$41:$M$52)*1.23)/EXTERNE_POZICIE!$B$41)),0)+IFERROR(SUM(#REF!)*'TCO TO BE- SW'!Z$4/'TCO TO BE- SW'!$E$4,0)</f>
        <v>0</v>
      </c>
    </row>
    <row r="161" spans="1:26">
      <c r="A161" s="817" t="s">
        <v>1521</v>
      </c>
      <c r="B161" s="818"/>
      <c r="C161" s="818" t="s">
        <v>1522</v>
      </c>
      <c r="D161" s="63">
        <v>1</v>
      </c>
      <c r="E161" s="68">
        <f t="shared" si="16"/>
        <v>0</v>
      </c>
      <c r="F161" s="573">
        <f>IFERROR(IF((POZICIE_INTERNE!$B$53-12*('TCO TO BE- SW'!$D151-1))&gt;12,((F$4+'TCO TO BE - HW'!F$4)/($E$4+'TCO TO BE - HW'!$E$4)*SUM(POZICIE_INTERNE!$I$53:$I$64))/POZICIE_INTERNE!$B$53*12,IF((POZICIE_INTERNE!$B$53-12*('TCO TO BE- SW'!$D151-1))&lt;0,0,(POZICIE_INTERNE!$B$53-12*('TCO TO BE- SW'!$D151-1))*((F$4+'TCO TO BE - HW'!F$4)/($E$4+'TCO TO BE - HW'!$E$4)*SUM(POZICIE_INTERNE!$I$53:$I$64))/POZICIE_INTERNE!$B$53)),0)+IFERROR(IF((EXTERNE_POZICIE!$B$53-12*('TCO TO BE- SW'!$D151-1))&gt;12,((F$4+'TCO TO BE - HW'!F$4)/($E$4+'TCO TO BE - HW'!$E$4)*SUM(EXTERNE_POZICIE!$M$53:$M$64)*1.23)/EXTERNE_POZICIE!$B$41*12,IF((EXTERNE_POZICIE!$B$53-12*('TCO TO BE- SW'!$D151-1))&lt;0,0,(EXTERNE_POZICIE!$B$53-12*('TCO TO BE- SW'!$D151-1))*((F$4+'TCO TO BE - HW'!F$4)/($E$4+'TCO TO BE - HW'!$E$4)*SUM(EXTERNE_POZICIE!$M$53:$M$64)*1.23)/EXTERNE_POZICIE!$B$53)),0)+IFERROR(SUM(#REF!)*'TCO TO BE- SW'!F$4/'TCO TO BE- SW'!$E$4,0)</f>
        <v>0</v>
      </c>
      <c r="G161" s="573">
        <f>IFERROR(IF((POZICIE_INTERNE!$B$53-12*('TCO TO BE- SW'!$D151-1))&gt;12,((G$4+'TCO TO BE - HW'!G$4)/($E$4+'TCO TO BE - HW'!$E$4)*SUM(POZICIE_INTERNE!$I$53:$I$64))/POZICIE_INTERNE!$B$53*12,IF((POZICIE_INTERNE!$B$53-12*('TCO TO BE- SW'!$D151-1))&lt;0,0,(POZICIE_INTERNE!$B$53-12*('TCO TO BE- SW'!$D151-1))*((G$4+'TCO TO BE - HW'!G$4)/($E$4+'TCO TO BE - HW'!$E$4)*SUM(POZICIE_INTERNE!$I$53:$I$64))/POZICIE_INTERNE!$B$53)),0)+IFERROR(IF((EXTERNE_POZICIE!$B$53-12*('TCO TO BE- SW'!$D151-1))&gt;12,((G$4+'TCO TO BE - HW'!G$4)/($E$4+'TCO TO BE - HW'!$E$4)*SUM(EXTERNE_POZICIE!$M$53:$M$64)*1.23)/EXTERNE_POZICIE!$B$41*12,IF((EXTERNE_POZICIE!$B$53-12*('TCO TO BE- SW'!$D151-1))&lt;0,0,(EXTERNE_POZICIE!$B$53-12*('TCO TO BE- SW'!$D151-1))*((G$4+'TCO TO BE - HW'!G$4)/($E$4+'TCO TO BE - HW'!$E$4)*SUM(EXTERNE_POZICIE!$M$53:$M$64)*1.23)/EXTERNE_POZICIE!$B$53)),0)+IFERROR(SUM(#REF!)*'TCO TO BE- SW'!G$4/'TCO TO BE- SW'!$E$4,0)</f>
        <v>0</v>
      </c>
      <c r="H161" s="573">
        <f>IFERROR(IF((POZICIE_INTERNE!$B$53-12*('TCO TO BE- SW'!$D151-1))&gt;12,((H$4+'TCO TO BE - HW'!H$4)/($E$4+'TCO TO BE - HW'!$E$4)*SUM(POZICIE_INTERNE!$I$53:$I$64))/POZICIE_INTERNE!$B$53*12,IF((POZICIE_INTERNE!$B$53-12*('TCO TO BE- SW'!$D151-1))&lt;0,0,(POZICIE_INTERNE!$B$53-12*('TCO TO BE- SW'!$D151-1))*((H$4+'TCO TO BE - HW'!H$4)/($E$4+'TCO TO BE - HW'!$E$4)*SUM(POZICIE_INTERNE!$I$53:$I$64))/POZICIE_INTERNE!$B$53)),0)+IFERROR(IF((EXTERNE_POZICIE!$B$53-12*('TCO TO BE- SW'!$D151-1))&gt;12,((H$4+'TCO TO BE - HW'!H$4)/($E$4+'TCO TO BE - HW'!$E$4)*SUM(EXTERNE_POZICIE!$M$53:$M$64)*1.23)/EXTERNE_POZICIE!$B$41*12,IF((EXTERNE_POZICIE!$B$53-12*('TCO TO BE- SW'!$D151-1))&lt;0,0,(EXTERNE_POZICIE!$B$53-12*('TCO TO BE- SW'!$D151-1))*((H$4+'TCO TO BE - HW'!H$4)/($E$4+'TCO TO BE - HW'!$E$4)*SUM(EXTERNE_POZICIE!$M$53:$M$64)*1.23)/EXTERNE_POZICIE!$B$53)),0)+IFERROR(SUM(#REF!)*'TCO TO BE- SW'!H$4/'TCO TO BE- SW'!$E$4,0)</f>
        <v>0</v>
      </c>
      <c r="I161" s="573">
        <f>IFERROR(IF((POZICIE_INTERNE!$B$53-12*('TCO TO BE- SW'!$D151-1))&gt;12,((I$4+'TCO TO BE - HW'!I$4)/($E$4+'TCO TO BE - HW'!$E$4)*SUM(POZICIE_INTERNE!$I$53:$I$64))/POZICIE_INTERNE!$B$53*12,IF((POZICIE_INTERNE!$B$53-12*('TCO TO BE- SW'!$D151-1))&lt;0,0,(POZICIE_INTERNE!$B$53-12*('TCO TO BE- SW'!$D151-1))*((I$4+'TCO TO BE - HW'!I$4)/($E$4+'TCO TO BE - HW'!$E$4)*SUM(POZICIE_INTERNE!$I$53:$I$64))/POZICIE_INTERNE!$B$53)),0)+IFERROR(IF((EXTERNE_POZICIE!$B$53-12*('TCO TO BE- SW'!$D151-1))&gt;12,((I$4+'TCO TO BE - HW'!I$4)/($E$4+'TCO TO BE - HW'!$E$4)*SUM(EXTERNE_POZICIE!$M$53:$M$64)*1.23)/EXTERNE_POZICIE!$B$41*12,IF((EXTERNE_POZICIE!$B$53-12*('TCO TO BE- SW'!$D151-1))&lt;0,0,(EXTERNE_POZICIE!$B$53-12*('TCO TO BE- SW'!$D151-1))*((I$4+'TCO TO BE - HW'!I$4)/($E$4+'TCO TO BE - HW'!$E$4)*SUM(EXTERNE_POZICIE!$M$53:$M$64)*1.23)/EXTERNE_POZICIE!$B$53)),0)+IFERROR(SUM(#REF!)*'TCO TO BE- SW'!I$4/'TCO TO BE- SW'!$E$4,0)</f>
        <v>0</v>
      </c>
      <c r="J161" s="573">
        <f>IFERROR(IF((POZICIE_INTERNE!$B$53-12*('TCO TO BE- SW'!$D151-1))&gt;12,((J$4+'TCO TO BE - HW'!J$4)/($E$4+'TCO TO BE - HW'!$E$4)*SUM(POZICIE_INTERNE!$I$53:$I$64))/POZICIE_INTERNE!$B$53*12,IF((POZICIE_INTERNE!$B$53-12*('TCO TO BE- SW'!$D151-1))&lt;0,0,(POZICIE_INTERNE!$B$53-12*('TCO TO BE- SW'!$D151-1))*((J$4+'TCO TO BE - HW'!J$4)/($E$4+'TCO TO BE - HW'!$E$4)*SUM(POZICIE_INTERNE!$I$53:$I$64))/POZICIE_INTERNE!$B$53)),0)+IFERROR(IF((EXTERNE_POZICIE!$B$53-12*('TCO TO BE- SW'!$D151-1))&gt;12,((J$4+'TCO TO BE - HW'!J$4)/($E$4+'TCO TO BE - HW'!$E$4)*SUM(EXTERNE_POZICIE!$M$53:$M$64)*1.23)/EXTERNE_POZICIE!$B$41*12,IF((EXTERNE_POZICIE!$B$53-12*('TCO TO BE- SW'!$D151-1))&lt;0,0,(EXTERNE_POZICIE!$B$53-12*('TCO TO BE- SW'!$D151-1))*((J$4+'TCO TO BE - HW'!J$4)/($E$4+'TCO TO BE - HW'!$E$4)*SUM(EXTERNE_POZICIE!$M$53:$M$64)*1.23)/EXTERNE_POZICIE!$B$53)),0)+IFERROR(SUM(#REF!)*'TCO TO BE- SW'!J$4/'TCO TO BE- SW'!$E$4,0)</f>
        <v>0</v>
      </c>
      <c r="K161" s="573">
        <f>IFERROR(IF((POZICIE_INTERNE!$B$53-12*('TCO TO BE- SW'!$D151-1))&gt;12,((K$4+'TCO TO BE - HW'!K$4)/($E$4+'TCO TO BE - HW'!$E$4)*SUM(POZICIE_INTERNE!$I$53:$I$64))/POZICIE_INTERNE!$B$53*12,IF((POZICIE_INTERNE!$B$53-12*('TCO TO BE- SW'!$D151-1))&lt;0,0,(POZICIE_INTERNE!$B$53-12*('TCO TO BE- SW'!$D151-1))*((K$4+'TCO TO BE - HW'!K$4)/($E$4+'TCO TO BE - HW'!$E$4)*SUM(POZICIE_INTERNE!$I$53:$I$64))/POZICIE_INTERNE!$B$53)),0)+IFERROR(IF((EXTERNE_POZICIE!$B$53-12*('TCO TO BE- SW'!$D151-1))&gt;12,((K$4+'TCO TO BE - HW'!K$4)/($E$4+'TCO TO BE - HW'!$E$4)*SUM(EXTERNE_POZICIE!$M$53:$M$64)*1.23)/EXTERNE_POZICIE!$B$41*12,IF((EXTERNE_POZICIE!$B$53-12*('TCO TO BE- SW'!$D151-1))&lt;0,0,(EXTERNE_POZICIE!$B$53-12*('TCO TO BE- SW'!$D151-1))*((K$4+'TCO TO BE - HW'!K$4)/($E$4+'TCO TO BE - HW'!$E$4)*SUM(EXTERNE_POZICIE!$M$53:$M$64)*1.23)/EXTERNE_POZICIE!$B$53)),0)+IFERROR(SUM(#REF!)*'TCO TO BE- SW'!K$4/'TCO TO BE- SW'!$E$4,0)</f>
        <v>0</v>
      </c>
      <c r="L161" s="573">
        <f>IFERROR(IF((POZICIE_INTERNE!$B$53-12*('TCO TO BE- SW'!$D151-1))&gt;12,((L$4+'TCO TO BE - HW'!L$4)/($E$4+'TCO TO BE - HW'!$E$4)*SUM(POZICIE_INTERNE!$I$53:$I$64))/POZICIE_INTERNE!$B$53*12,IF((POZICIE_INTERNE!$B$53-12*('TCO TO BE- SW'!$D151-1))&lt;0,0,(POZICIE_INTERNE!$B$53-12*('TCO TO BE- SW'!$D151-1))*((L$4+'TCO TO BE - HW'!L$4)/($E$4+'TCO TO BE - HW'!$E$4)*SUM(POZICIE_INTERNE!$I$53:$I$64))/POZICIE_INTERNE!$B$53)),0)+IFERROR(IF((EXTERNE_POZICIE!$B$53-12*('TCO TO BE- SW'!$D151-1))&gt;12,((L$4+'TCO TO BE - HW'!L$4)/($E$4+'TCO TO BE - HW'!$E$4)*SUM(EXTERNE_POZICIE!$M$53:$M$64)*1.23)/EXTERNE_POZICIE!$B$41*12,IF((EXTERNE_POZICIE!$B$53-12*('TCO TO BE- SW'!$D151-1))&lt;0,0,(EXTERNE_POZICIE!$B$53-12*('TCO TO BE- SW'!$D151-1))*((L$4+'TCO TO BE - HW'!L$4)/($E$4+'TCO TO BE - HW'!$E$4)*SUM(EXTERNE_POZICIE!$M$53:$M$64)*1.23)/EXTERNE_POZICIE!$B$53)),0)+IFERROR(SUM(#REF!)*'TCO TO BE- SW'!L$4/'TCO TO BE- SW'!$E$4,0)</f>
        <v>0</v>
      </c>
      <c r="M161" s="573">
        <f>IFERROR(IF((POZICIE_INTERNE!$B$53-12*('TCO TO BE- SW'!$D151-1))&gt;12,((M$4+'TCO TO BE - HW'!M$4)/($E$4+'TCO TO BE - HW'!$E$4)*SUM(POZICIE_INTERNE!$I$53:$I$64))/POZICIE_INTERNE!$B$53*12,IF((POZICIE_INTERNE!$B$53-12*('TCO TO BE- SW'!$D151-1))&lt;0,0,(POZICIE_INTERNE!$B$53-12*('TCO TO BE- SW'!$D151-1))*((M$4+'TCO TO BE - HW'!M$4)/($E$4+'TCO TO BE - HW'!$E$4)*SUM(POZICIE_INTERNE!$I$53:$I$64))/POZICIE_INTERNE!$B$53)),0)+IFERROR(IF((EXTERNE_POZICIE!$B$53-12*('TCO TO BE- SW'!$D151-1))&gt;12,((M$4+'TCO TO BE - HW'!M$4)/($E$4+'TCO TO BE - HW'!$E$4)*SUM(EXTERNE_POZICIE!$M$53:$M$64)*1.23)/EXTERNE_POZICIE!$B$41*12,IF((EXTERNE_POZICIE!$B$53-12*('TCO TO BE- SW'!$D151-1))&lt;0,0,(EXTERNE_POZICIE!$B$53-12*('TCO TO BE- SW'!$D151-1))*((M$4+'TCO TO BE - HW'!M$4)/($E$4+'TCO TO BE - HW'!$E$4)*SUM(EXTERNE_POZICIE!$M$53:$M$64)*1.23)/EXTERNE_POZICIE!$B$53)),0)+IFERROR(SUM(#REF!)*'TCO TO BE- SW'!M$4/'TCO TO BE- SW'!$E$4,0)</f>
        <v>0</v>
      </c>
      <c r="N161" s="573">
        <f>IFERROR(IF((POZICIE_INTERNE!$B$53-12*('TCO TO BE- SW'!$D151-1))&gt;12,((N$4+'TCO TO BE - HW'!N$4)/($E$4+'TCO TO BE - HW'!$E$4)*SUM(POZICIE_INTERNE!$I$53:$I$64))/POZICIE_INTERNE!$B$53*12,IF((POZICIE_INTERNE!$B$53-12*('TCO TO BE- SW'!$D151-1))&lt;0,0,(POZICIE_INTERNE!$B$53-12*('TCO TO BE- SW'!$D151-1))*((N$4+'TCO TO BE - HW'!N$4)/($E$4+'TCO TO BE - HW'!$E$4)*SUM(POZICIE_INTERNE!$I$53:$I$64))/POZICIE_INTERNE!$B$53)),0)+IFERROR(IF((EXTERNE_POZICIE!$B$53-12*('TCO TO BE- SW'!$D151-1))&gt;12,((N$4+'TCO TO BE - HW'!N$4)/($E$4+'TCO TO BE - HW'!$E$4)*SUM(EXTERNE_POZICIE!$M$53:$M$64)*1.23)/EXTERNE_POZICIE!$B$41*12,IF((EXTERNE_POZICIE!$B$53-12*('TCO TO BE- SW'!$D151-1))&lt;0,0,(EXTERNE_POZICIE!$B$53-12*('TCO TO BE- SW'!$D151-1))*((N$4+'TCO TO BE - HW'!N$4)/($E$4+'TCO TO BE - HW'!$E$4)*SUM(EXTERNE_POZICIE!$M$53:$M$64)*1.23)/EXTERNE_POZICIE!$B$53)),0)+IFERROR(SUM(#REF!)*'TCO TO BE- SW'!N$4/'TCO TO BE- SW'!$E$4,0)</f>
        <v>0</v>
      </c>
      <c r="O161" s="573">
        <f>IFERROR(IF((POZICIE_INTERNE!$B$53-12*('TCO TO BE- SW'!$D151-1))&gt;12,((O$4+'TCO TO BE - HW'!O$4)/($E$4+'TCO TO BE - HW'!$E$4)*SUM(POZICIE_INTERNE!$I$53:$I$64))/POZICIE_INTERNE!$B$53*12,IF((POZICIE_INTERNE!$B$53-12*('TCO TO BE- SW'!$D151-1))&lt;0,0,(POZICIE_INTERNE!$B$53-12*('TCO TO BE- SW'!$D151-1))*((O$4+'TCO TO BE - HW'!O$4)/($E$4+'TCO TO BE - HW'!$E$4)*SUM(POZICIE_INTERNE!$I$53:$I$64))/POZICIE_INTERNE!$B$53)),0)+IFERROR(IF((EXTERNE_POZICIE!$B$53-12*('TCO TO BE- SW'!$D151-1))&gt;12,((O$4+'TCO TO BE - HW'!O$4)/($E$4+'TCO TO BE - HW'!$E$4)*SUM(EXTERNE_POZICIE!$M$53:$M$64)*1.23)/EXTERNE_POZICIE!$B$41*12,IF((EXTERNE_POZICIE!$B$53-12*('TCO TO BE- SW'!$D151-1))&lt;0,0,(EXTERNE_POZICIE!$B$53-12*('TCO TO BE- SW'!$D151-1))*((O$4+'TCO TO BE - HW'!O$4)/($E$4+'TCO TO BE - HW'!$E$4)*SUM(EXTERNE_POZICIE!$M$53:$M$64)*1.23)/EXTERNE_POZICIE!$B$53)),0)+IFERROR(SUM(#REF!)*'TCO TO BE- SW'!O$4/'TCO TO BE- SW'!$E$4,0)</f>
        <v>0</v>
      </c>
      <c r="P161" s="573">
        <f>IFERROR(IF((POZICIE_INTERNE!$B$53-12*('TCO TO BE- SW'!$D151-1))&gt;12,((P$4+'TCO TO BE - HW'!P$4)/($E$4+'TCO TO BE - HW'!$E$4)*SUM(POZICIE_INTERNE!$I$53:$I$64))/POZICIE_INTERNE!$B$53*12,IF((POZICIE_INTERNE!$B$53-12*('TCO TO BE- SW'!$D151-1))&lt;0,0,(POZICIE_INTERNE!$B$53-12*('TCO TO BE- SW'!$D151-1))*((P$4+'TCO TO BE - HW'!P$4)/($E$4+'TCO TO BE - HW'!$E$4)*SUM(POZICIE_INTERNE!$I$53:$I$64))/POZICIE_INTERNE!$B$53)),0)+IFERROR(IF((EXTERNE_POZICIE!$B$53-12*('TCO TO BE- SW'!$D151-1))&gt;12,((P$4+'TCO TO BE - HW'!P$4)/($E$4+'TCO TO BE - HW'!$E$4)*SUM(EXTERNE_POZICIE!$M$53:$M$64)*1.23)/EXTERNE_POZICIE!$B$41*12,IF((EXTERNE_POZICIE!$B$53-12*('TCO TO BE- SW'!$D151-1))&lt;0,0,(EXTERNE_POZICIE!$B$53-12*('TCO TO BE- SW'!$D151-1))*((P$4+'TCO TO BE - HW'!P$4)/($E$4+'TCO TO BE - HW'!$E$4)*SUM(EXTERNE_POZICIE!$M$53:$M$64)*1.23)/EXTERNE_POZICIE!$B$53)),0)+IFERROR(SUM(#REF!)*'TCO TO BE- SW'!P$4/'TCO TO BE- SW'!$E$4,0)</f>
        <v>0</v>
      </c>
      <c r="Q161" s="573">
        <f>IFERROR(IF((POZICIE_INTERNE!$B$53-12*('TCO TO BE- SW'!$D151-1))&gt;12,((Q$4+'TCO TO BE - HW'!Q$4)/($E$4+'TCO TO BE - HW'!$E$4)*SUM(POZICIE_INTERNE!$I$53:$I$64))/POZICIE_INTERNE!$B$53*12,IF((POZICIE_INTERNE!$B$53-12*('TCO TO BE- SW'!$D151-1))&lt;0,0,(POZICIE_INTERNE!$B$53-12*('TCO TO BE- SW'!$D151-1))*((Q$4+'TCO TO BE - HW'!Q$4)/($E$4+'TCO TO BE - HW'!$E$4)*SUM(POZICIE_INTERNE!$I$53:$I$64))/POZICIE_INTERNE!$B$53)),0)+IFERROR(IF((EXTERNE_POZICIE!$B$53-12*('TCO TO BE- SW'!$D151-1))&gt;12,((Q$4+'TCO TO BE - HW'!Q$4)/($E$4+'TCO TO BE - HW'!$E$4)*SUM(EXTERNE_POZICIE!$M$53:$M$64)*1.23)/EXTERNE_POZICIE!$B$41*12,IF((EXTERNE_POZICIE!$B$53-12*('TCO TO BE- SW'!$D151-1))&lt;0,0,(EXTERNE_POZICIE!$B$53-12*('TCO TO BE- SW'!$D151-1))*((Q$4+'TCO TO BE - HW'!Q$4)/($E$4+'TCO TO BE - HW'!$E$4)*SUM(EXTERNE_POZICIE!$M$53:$M$64)*1.23)/EXTERNE_POZICIE!$B$53)),0)+IFERROR(SUM(#REF!)*'TCO TO BE- SW'!Q$4/'TCO TO BE- SW'!$E$4,0)</f>
        <v>0</v>
      </c>
      <c r="R161" s="573">
        <f>IFERROR(IF((POZICIE_INTERNE!$B$53-12*('TCO TO BE- SW'!$D151-1))&gt;12,((R$4+'TCO TO BE - HW'!R$4)/($E$4+'TCO TO BE - HW'!$E$4)*SUM(POZICIE_INTERNE!$I$53:$I$64))/POZICIE_INTERNE!$B$53*12,IF((POZICIE_INTERNE!$B$53-12*('TCO TO BE- SW'!$D151-1))&lt;0,0,(POZICIE_INTERNE!$B$53-12*('TCO TO BE- SW'!$D151-1))*((R$4+'TCO TO BE - HW'!R$4)/($E$4+'TCO TO BE - HW'!$E$4)*SUM(POZICIE_INTERNE!$I$53:$I$64))/POZICIE_INTERNE!$B$53)),0)+IFERROR(IF((EXTERNE_POZICIE!$B$53-12*('TCO TO BE- SW'!$D151-1))&gt;12,((R$4+'TCO TO BE - HW'!R$4)/($E$4+'TCO TO BE - HW'!$E$4)*SUM(EXTERNE_POZICIE!$M$53:$M$64)*1.23)/EXTERNE_POZICIE!$B$41*12,IF((EXTERNE_POZICIE!$B$53-12*('TCO TO BE- SW'!$D151-1))&lt;0,0,(EXTERNE_POZICIE!$B$53-12*('TCO TO BE- SW'!$D151-1))*((R$4+'TCO TO BE - HW'!R$4)/($E$4+'TCO TO BE - HW'!$E$4)*SUM(EXTERNE_POZICIE!$M$53:$M$64)*1.23)/EXTERNE_POZICIE!$B$53)),0)+IFERROR(SUM(#REF!)*'TCO TO BE- SW'!R$4/'TCO TO BE- SW'!$E$4,0)</f>
        <v>0</v>
      </c>
      <c r="S161" s="573">
        <f>IFERROR(IF((POZICIE_INTERNE!$B$53-12*('TCO TO BE- SW'!$D151-1))&gt;12,((S$4+'TCO TO BE - HW'!S$4)/($E$4+'TCO TO BE - HW'!$E$4)*SUM(POZICIE_INTERNE!$I$53:$I$64))/POZICIE_INTERNE!$B$53*12,IF((POZICIE_INTERNE!$B$53-12*('TCO TO BE- SW'!$D151-1))&lt;0,0,(POZICIE_INTERNE!$B$53-12*('TCO TO BE- SW'!$D151-1))*((S$4+'TCO TO BE - HW'!S$4)/($E$4+'TCO TO BE - HW'!$E$4)*SUM(POZICIE_INTERNE!$I$53:$I$64))/POZICIE_INTERNE!$B$53)),0)+IFERROR(IF((EXTERNE_POZICIE!$B$53-12*('TCO TO BE- SW'!$D151-1))&gt;12,((S$4+'TCO TO BE - HW'!S$4)/($E$4+'TCO TO BE - HW'!$E$4)*SUM(EXTERNE_POZICIE!$M$53:$M$64)*1.23)/EXTERNE_POZICIE!$B$41*12,IF((EXTERNE_POZICIE!$B$53-12*('TCO TO BE- SW'!$D151-1))&lt;0,0,(EXTERNE_POZICIE!$B$53-12*('TCO TO BE- SW'!$D151-1))*((S$4+'TCO TO BE - HW'!S$4)/($E$4+'TCO TO BE - HW'!$E$4)*SUM(EXTERNE_POZICIE!$M$53:$M$64)*1.23)/EXTERNE_POZICIE!$B$53)),0)+IFERROR(SUM(#REF!)*'TCO TO BE- SW'!S$4/'TCO TO BE- SW'!$E$4,0)</f>
        <v>0</v>
      </c>
      <c r="T161" s="573">
        <f>IFERROR(IF((POZICIE_INTERNE!$B$53-12*('TCO TO BE- SW'!$D151-1))&gt;12,((T$4+'TCO TO BE - HW'!T$4)/($E$4+'TCO TO BE - HW'!$E$4)*SUM(POZICIE_INTERNE!$I$53:$I$64))/POZICIE_INTERNE!$B$53*12,IF((POZICIE_INTERNE!$B$53-12*('TCO TO BE- SW'!$D151-1))&lt;0,0,(POZICIE_INTERNE!$B$53-12*('TCO TO BE- SW'!$D151-1))*((T$4+'TCO TO BE - HW'!T$4)/($E$4+'TCO TO BE - HW'!$E$4)*SUM(POZICIE_INTERNE!$I$53:$I$64))/POZICIE_INTERNE!$B$53)),0)+IFERROR(IF((EXTERNE_POZICIE!$B$53-12*('TCO TO BE- SW'!$D151-1))&gt;12,((T$4+'TCO TO BE - HW'!T$4)/($E$4+'TCO TO BE - HW'!$E$4)*SUM(EXTERNE_POZICIE!$M$53:$M$64)*1.23)/EXTERNE_POZICIE!$B$41*12,IF((EXTERNE_POZICIE!$B$53-12*('TCO TO BE- SW'!$D151-1))&lt;0,0,(EXTERNE_POZICIE!$B$53-12*('TCO TO BE- SW'!$D151-1))*((T$4+'TCO TO BE - HW'!T$4)/($E$4+'TCO TO BE - HW'!$E$4)*SUM(EXTERNE_POZICIE!$M$53:$M$64)*1.23)/EXTERNE_POZICIE!$B$53)),0)+IFERROR(SUM(#REF!)*'TCO TO BE- SW'!T$4/'TCO TO BE- SW'!$E$4,0)</f>
        <v>0</v>
      </c>
      <c r="U161" s="573">
        <f>IFERROR(IF((POZICIE_INTERNE!$B$53-12*('TCO TO BE- SW'!$D151-1))&gt;12,((U$4+'TCO TO BE - HW'!U$4)/($E$4+'TCO TO BE - HW'!$E$4)*SUM(POZICIE_INTERNE!$I$53:$I$64))/POZICIE_INTERNE!$B$53*12,IF((POZICIE_INTERNE!$B$53-12*('TCO TO BE- SW'!$D151-1))&lt;0,0,(POZICIE_INTERNE!$B$53-12*('TCO TO BE- SW'!$D151-1))*((U$4+'TCO TO BE - HW'!U$4)/($E$4+'TCO TO BE - HW'!$E$4)*SUM(POZICIE_INTERNE!$I$53:$I$64))/POZICIE_INTERNE!$B$53)),0)+IFERROR(IF((EXTERNE_POZICIE!$B$53-12*('TCO TO BE- SW'!$D151-1))&gt;12,((U$4+'TCO TO BE - HW'!U$4)/($E$4+'TCO TO BE - HW'!$E$4)*SUM(EXTERNE_POZICIE!$M$53:$M$64)*1.23)/EXTERNE_POZICIE!$B$41*12,IF((EXTERNE_POZICIE!$B$53-12*('TCO TO BE- SW'!$D151-1))&lt;0,0,(EXTERNE_POZICIE!$B$53-12*('TCO TO BE- SW'!$D151-1))*((U$4+'TCO TO BE - HW'!U$4)/($E$4+'TCO TO BE - HW'!$E$4)*SUM(EXTERNE_POZICIE!$M$53:$M$64)*1.23)/EXTERNE_POZICIE!$B$53)),0)+IFERROR(SUM(#REF!)*'TCO TO BE- SW'!U$4/'TCO TO BE- SW'!$E$4,0)</f>
        <v>0</v>
      </c>
      <c r="V161" s="573">
        <f>IFERROR(IF((POZICIE_INTERNE!$B$53-12*('TCO TO BE- SW'!$D151-1))&gt;12,((V$4+'TCO TO BE - HW'!V$4)/($E$4+'TCO TO BE - HW'!$E$4)*SUM(POZICIE_INTERNE!$I$53:$I$64))/POZICIE_INTERNE!$B$53*12,IF((POZICIE_INTERNE!$B$53-12*('TCO TO BE- SW'!$D151-1))&lt;0,0,(POZICIE_INTERNE!$B$53-12*('TCO TO BE- SW'!$D151-1))*((V$4+'TCO TO BE - HW'!V$4)/($E$4+'TCO TO BE - HW'!$E$4)*SUM(POZICIE_INTERNE!$I$53:$I$64))/POZICIE_INTERNE!$B$53)),0)+IFERROR(IF((EXTERNE_POZICIE!$B$53-12*('TCO TO BE- SW'!$D151-1))&gt;12,((V$4+'TCO TO BE - HW'!V$4)/($E$4+'TCO TO BE - HW'!$E$4)*SUM(EXTERNE_POZICIE!$M$53:$M$64)*1.23)/EXTERNE_POZICIE!$B$41*12,IF((EXTERNE_POZICIE!$B$53-12*('TCO TO BE- SW'!$D151-1))&lt;0,0,(EXTERNE_POZICIE!$B$53-12*('TCO TO BE- SW'!$D151-1))*((V$4+'TCO TO BE - HW'!V$4)/($E$4+'TCO TO BE - HW'!$E$4)*SUM(EXTERNE_POZICIE!$M$53:$M$64)*1.23)/EXTERNE_POZICIE!$B$53)),0)+IFERROR(SUM(#REF!)*'TCO TO BE- SW'!V$4/'TCO TO BE- SW'!$E$4,0)</f>
        <v>0</v>
      </c>
      <c r="W161" s="573">
        <f>IFERROR(IF((POZICIE_INTERNE!$B$53-12*('TCO TO BE- SW'!$D151-1))&gt;12,((W$4+'TCO TO BE - HW'!W$4)/($E$4+'TCO TO BE - HW'!$E$4)*SUM(POZICIE_INTERNE!$I$53:$I$64))/POZICIE_INTERNE!$B$53*12,IF((POZICIE_INTERNE!$B$53-12*('TCO TO BE- SW'!$D151-1))&lt;0,0,(POZICIE_INTERNE!$B$53-12*('TCO TO BE- SW'!$D151-1))*((W$4+'TCO TO BE - HW'!W$4)/($E$4+'TCO TO BE - HW'!$E$4)*SUM(POZICIE_INTERNE!$I$53:$I$64))/POZICIE_INTERNE!$B$53)),0)+IFERROR(IF((EXTERNE_POZICIE!$B$53-12*('TCO TO BE- SW'!$D151-1))&gt;12,((W$4+'TCO TO BE - HW'!W$4)/($E$4+'TCO TO BE - HW'!$E$4)*SUM(EXTERNE_POZICIE!$M$53:$M$64)*1.23)/EXTERNE_POZICIE!$B$41*12,IF((EXTERNE_POZICIE!$B$53-12*('TCO TO BE- SW'!$D151-1))&lt;0,0,(EXTERNE_POZICIE!$B$53-12*('TCO TO BE- SW'!$D151-1))*((W$4+'TCO TO BE - HW'!W$4)/($E$4+'TCO TO BE - HW'!$E$4)*SUM(EXTERNE_POZICIE!$M$53:$M$64)*1.23)/EXTERNE_POZICIE!$B$53)),0)+IFERROR(SUM(#REF!)*'TCO TO BE- SW'!W$4/'TCO TO BE- SW'!$E$4,0)</f>
        <v>0</v>
      </c>
      <c r="X161" s="573">
        <f>IFERROR(IF((POZICIE_INTERNE!$B$53-12*('TCO TO BE- SW'!$D151-1))&gt;12,((X$4+'TCO TO BE - HW'!X$4)/($E$4+'TCO TO BE - HW'!$E$4)*SUM(POZICIE_INTERNE!$I$53:$I$64))/POZICIE_INTERNE!$B$53*12,IF((POZICIE_INTERNE!$B$53-12*('TCO TO BE- SW'!$D151-1))&lt;0,0,(POZICIE_INTERNE!$B$53-12*('TCO TO BE- SW'!$D151-1))*((X$4+'TCO TO BE - HW'!X$4)/($E$4+'TCO TO BE - HW'!$E$4)*SUM(POZICIE_INTERNE!$I$53:$I$64))/POZICIE_INTERNE!$B$53)),0)+IFERROR(IF((EXTERNE_POZICIE!$B$53-12*('TCO TO BE- SW'!$D151-1))&gt;12,((X$4+'TCO TO BE - HW'!X$4)/($E$4+'TCO TO BE - HW'!$E$4)*SUM(EXTERNE_POZICIE!$M$53:$M$64)*1.23)/EXTERNE_POZICIE!$B$41*12,IF((EXTERNE_POZICIE!$B$53-12*('TCO TO BE- SW'!$D151-1))&lt;0,0,(EXTERNE_POZICIE!$B$53-12*('TCO TO BE- SW'!$D151-1))*((X$4+'TCO TO BE - HW'!X$4)/($E$4+'TCO TO BE - HW'!$E$4)*SUM(EXTERNE_POZICIE!$M$53:$M$64)*1.23)/EXTERNE_POZICIE!$B$53)),0)+IFERROR(SUM(#REF!)*'TCO TO BE- SW'!X$4/'TCO TO BE- SW'!$E$4,0)</f>
        <v>0</v>
      </c>
      <c r="Y161" s="573">
        <f>IFERROR(IF((POZICIE_INTERNE!$B$53-12*('TCO TO BE- SW'!$D151-1))&gt;12,((Y$4+'TCO TO BE - HW'!Y$4)/($E$4+'TCO TO BE - HW'!$E$4)*SUM(POZICIE_INTERNE!$I$53:$I$64))/POZICIE_INTERNE!$B$53*12,IF((POZICIE_INTERNE!$B$53-12*('TCO TO BE- SW'!$D151-1))&lt;0,0,(POZICIE_INTERNE!$B$53-12*('TCO TO BE- SW'!$D151-1))*((Y$4+'TCO TO BE - HW'!Y$4)/($E$4+'TCO TO BE - HW'!$E$4)*SUM(POZICIE_INTERNE!$I$53:$I$64))/POZICIE_INTERNE!$B$53)),0)+IFERROR(IF((EXTERNE_POZICIE!$B$53-12*('TCO TO BE- SW'!$D151-1))&gt;12,((Y$4+'TCO TO BE - HW'!Y$4)/($E$4+'TCO TO BE - HW'!$E$4)*SUM(EXTERNE_POZICIE!$M$53:$M$64)*1.23)/EXTERNE_POZICIE!$B$41*12,IF((EXTERNE_POZICIE!$B$53-12*('TCO TO BE- SW'!$D151-1))&lt;0,0,(EXTERNE_POZICIE!$B$53-12*('TCO TO BE- SW'!$D151-1))*((Y$4+'TCO TO BE - HW'!Y$4)/($E$4+'TCO TO BE - HW'!$E$4)*SUM(EXTERNE_POZICIE!$M$53:$M$64)*1.23)/EXTERNE_POZICIE!$B$53)),0)+IFERROR(SUM(#REF!)*'TCO TO BE- SW'!Y$4/'TCO TO BE- SW'!$E$4,0)</f>
        <v>0</v>
      </c>
      <c r="Z161" s="573">
        <f>IFERROR(IF((POZICIE_INTERNE!$B$53-12*('TCO TO BE- SW'!$D151-1))&gt;12,((Z$4+'TCO TO BE - HW'!Z$4)/($E$4+'TCO TO BE - HW'!$E$4)*SUM(POZICIE_INTERNE!$I$53:$I$64))/POZICIE_INTERNE!$B$53*12,IF((POZICIE_INTERNE!$B$53-12*('TCO TO BE- SW'!$D151-1))&lt;0,0,(POZICIE_INTERNE!$B$53-12*('TCO TO BE- SW'!$D151-1))*((Z$4+'TCO TO BE - HW'!Z$4)/($E$4+'TCO TO BE - HW'!$E$4)*SUM(POZICIE_INTERNE!$I$53:$I$64))/POZICIE_INTERNE!$B$53)),0)+IFERROR(IF((EXTERNE_POZICIE!$B$53-12*('TCO TO BE- SW'!$D151-1))&gt;12,((Z$4+'TCO TO BE - HW'!Z$4)/($E$4+'TCO TO BE - HW'!$E$4)*SUM(EXTERNE_POZICIE!$M$53:$M$64)*1.23)/EXTERNE_POZICIE!$B$41*12,IF((EXTERNE_POZICIE!$B$53-12*('TCO TO BE- SW'!$D151-1))&lt;0,0,(EXTERNE_POZICIE!$B$53-12*('TCO TO BE- SW'!$D151-1))*((Z$4+'TCO TO BE - HW'!Z$4)/($E$4+'TCO TO BE - HW'!$E$4)*SUM(EXTERNE_POZICIE!$M$53:$M$64)*1.23)/EXTERNE_POZICIE!$B$53)),0)+IFERROR(SUM(#REF!)*'TCO TO BE- SW'!Z$4/'TCO TO BE- SW'!$E$4,0)</f>
        <v>0</v>
      </c>
    </row>
    <row r="162" spans="1:26">
      <c r="A162" s="817"/>
      <c r="B162" s="818"/>
      <c r="C162" s="818"/>
      <c r="D162" s="64">
        <v>2</v>
      </c>
      <c r="E162" s="68">
        <f t="shared" si="16"/>
        <v>0</v>
      </c>
      <c r="F162" s="574">
        <f>IFERROR(IF((POZICIE_INTERNE!$B$53-12*('TCO TO BE- SW'!$D152-1))&gt;12,((F$4+'TCO TO BE - HW'!F$4)/($E$4+'TCO TO BE - HW'!$E$4)*SUM(POZICIE_INTERNE!$I$53:$I$64))/POZICIE_INTERNE!$B$53*12,IF((POZICIE_INTERNE!$B$53-12*('TCO TO BE- SW'!$D152-1))&lt;0,0,(POZICIE_INTERNE!$B$53-12*('TCO TO BE- SW'!$D152-1))*((F$4+'TCO TO BE - HW'!F$4)/($E$4+'TCO TO BE - HW'!$E$4)*SUM(POZICIE_INTERNE!$I$53:$I$64))/POZICIE_INTERNE!$B$53)),0)+IFERROR(IF((EXTERNE_POZICIE!$B$53-12*('TCO TO BE- SW'!$D152-1))&gt;12,((F$4+'TCO TO BE - HW'!F$4)/($E$4+'TCO TO BE - HW'!$E$4)*SUM(EXTERNE_POZICIE!$M$53:$M$64)*1.23)/EXTERNE_POZICIE!$B$41*12,IF((EXTERNE_POZICIE!$B$53-12*('TCO TO BE- SW'!$D152-1))&lt;0,0,(EXTERNE_POZICIE!$B$53-12*('TCO TO BE- SW'!$D152-1))*((F$4+'TCO TO BE - HW'!F$4)/($E$4+'TCO TO BE - HW'!$E$4)*SUM(EXTERNE_POZICIE!$M$53:$M$64)*1.23)/EXTERNE_POZICIE!$B$53)),0)+IFERROR(SUM(#REF!)*'TCO TO BE- SW'!F$4/'TCO TO BE- SW'!$E$4,0)</f>
        <v>0</v>
      </c>
      <c r="G162" s="574">
        <f>IFERROR(IF((POZICIE_INTERNE!$B$53-12*('TCO TO BE- SW'!$D152-1))&gt;12,((G$4+'TCO TO BE - HW'!G$4)/($E$4+'TCO TO BE - HW'!$E$4)*SUM(POZICIE_INTERNE!$I$53:$I$64))/POZICIE_INTERNE!$B$53*12,IF((POZICIE_INTERNE!$B$53-12*('TCO TO BE- SW'!$D152-1))&lt;0,0,(POZICIE_INTERNE!$B$53-12*('TCO TO BE- SW'!$D152-1))*((G$4+'TCO TO BE - HW'!G$4)/($E$4+'TCO TO BE - HW'!$E$4)*SUM(POZICIE_INTERNE!$I$53:$I$64))/POZICIE_INTERNE!$B$53)),0)+IFERROR(IF((EXTERNE_POZICIE!$B$53-12*('TCO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0</v>
      </c>
      <c r="H162" s="574">
        <f>IFERROR(IF((POZICIE_INTERNE!$B$53-12*('TCO TO BE- SW'!$D152-1))&gt;12,((H$4+'TCO TO BE - HW'!H$4)/($E$4+'TCO TO BE - HW'!$E$4)*SUM(POZICIE_INTERNE!$I$53:$I$64))/POZICIE_INTERNE!$B$53*12,IF((POZICIE_INTERNE!$B$53-12*('TCO TO BE- SW'!$D152-1))&lt;0,0,(POZICIE_INTERNE!$B$53-12*('TCO TO BE- SW'!$D152-1))*((H$4+'TCO TO BE - HW'!H$4)/($E$4+'TCO TO BE - HW'!$E$4)*SUM(POZICIE_INTERNE!$I$53:$I$64))/POZICIE_INTERNE!$B$53)),0)+IFERROR(IF((EXTERNE_POZICIE!$B$53-12*('TCO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0</v>
      </c>
      <c r="I162" s="574">
        <f>IFERROR(IF((POZICIE_INTERNE!$B$53-12*('TCO TO BE- SW'!$D152-1))&gt;12,((I$4+'TCO TO BE - HW'!I$4)/($E$4+'TCO TO BE - HW'!$E$4)*SUM(POZICIE_INTERNE!$I$53:$I$64))/POZICIE_INTERNE!$B$53*12,IF((POZICIE_INTERNE!$B$53-12*('TCO TO BE- SW'!$D152-1))&lt;0,0,(POZICIE_INTERNE!$B$53-12*('TCO TO BE- SW'!$D152-1))*((I$4+'TCO TO BE - HW'!I$4)/($E$4+'TCO TO BE - HW'!$E$4)*SUM(POZICIE_INTERNE!$I$53:$I$64))/POZICIE_INTERNE!$B$53)),0)+IFERROR(IF((EXTERNE_POZICIE!$B$53-12*('TCO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0</v>
      </c>
      <c r="J162" s="574">
        <f>IFERROR(IF((POZICIE_INTERNE!$B$53-12*('TCO TO BE- SW'!$D152-1))&gt;12,((J$4+'TCO TO BE - HW'!J$4)/($E$4+'TCO TO BE - HW'!$E$4)*SUM(POZICIE_INTERNE!$I$53:$I$64))/POZICIE_INTERNE!$B$53*12,IF((POZICIE_INTERNE!$B$53-12*('TCO TO BE- SW'!$D152-1))&lt;0,0,(POZICIE_INTERNE!$B$53-12*('TCO TO BE- SW'!$D152-1))*((J$4+'TCO TO BE - HW'!J$4)/($E$4+'TCO TO BE - HW'!$E$4)*SUM(POZICIE_INTERNE!$I$53:$I$64))/POZICIE_INTERNE!$B$53)),0)+IFERROR(IF((EXTERNE_POZICIE!$B$53-12*('TCO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0</v>
      </c>
      <c r="K162" s="574">
        <f>IFERROR(IF((POZICIE_INTERNE!$B$53-12*('TCO TO BE- SW'!$D152-1))&gt;12,((K$4+'TCO TO BE - HW'!K$4)/($E$4+'TCO TO BE - HW'!$E$4)*SUM(POZICIE_INTERNE!$I$53:$I$64))/POZICIE_INTERNE!$B$53*12,IF((POZICIE_INTERNE!$B$53-12*('TCO TO BE- SW'!$D152-1))&lt;0,0,(POZICIE_INTERNE!$B$53-12*('TCO TO BE- SW'!$D152-1))*((K$4+'TCO TO BE - HW'!K$4)/($E$4+'TCO TO BE - HW'!$E$4)*SUM(POZICIE_INTERNE!$I$53:$I$64))/POZICIE_INTERNE!$B$53)),0)+IFERROR(IF((EXTERNE_POZICIE!$B$53-12*('TCO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0</v>
      </c>
      <c r="L162" s="574">
        <f>IFERROR(IF((POZICIE_INTERNE!$B$53-12*('TCO TO BE- SW'!$D152-1))&gt;12,((L$4+'TCO TO BE - HW'!L$4)/($E$4+'TCO TO BE - HW'!$E$4)*SUM(POZICIE_INTERNE!$I$53:$I$64))/POZICIE_INTERNE!$B$53*12,IF((POZICIE_INTERNE!$B$53-12*('TCO TO BE- SW'!$D152-1))&lt;0,0,(POZICIE_INTERNE!$B$53-12*('TCO TO BE- SW'!$D152-1))*((L$4+'TCO TO BE - HW'!L$4)/($E$4+'TCO TO BE - HW'!$E$4)*SUM(POZICIE_INTERNE!$I$53:$I$64))/POZICIE_INTERNE!$B$53)),0)+IFERROR(IF((EXTERNE_POZICIE!$B$53-12*('TCO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0</v>
      </c>
      <c r="M162" s="574">
        <f>IFERROR(IF((POZICIE_INTERNE!$B$53-12*('TCO TO BE- SW'!$D152-1))&gt;12,((M$4+'TCO TO BE - HW'!M$4)/($E$4+'TCO TO BE - HW'!$E$4)*SUM(POZICIE_INTERNE!$I$53:$I$64))/POZICIE_INTERNE!$B$53*12,IF((POZICIE_INTERNE!$B$53-12*('TCO TO BE- SW'!$D152-1))&lt;0,0,(POZICIE_INTERNE!$B$53-12*('TCO TO BE- SW'!$D152-1))*((M$4+'TCO TO BE - HW'!M$4)/($E$4+'TCO TO BE - HW'!$E$4)*SUM(POZICIE_INTERNE!$I$53:$I$64))/POZICIE_INTERNE!$B$53)),0)+IFERROR(IF((EXTERNE_POZICIE!$B$53-12*('TCO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0</v>
      </c>
      <c r="N162" s="574">
        <f>IFERROR(IF((POZICIE_INTERNE!$B$53-12*('TCO TO BE- SW'!$D152-1))&gt;12,((N$4+'TCO TO BE - HW'!N$4)/($E$4+'TCO TO BE - HW'!$E$4)*SUM(POZICIE_INTERNE!$I$53:$I$64))/POZICIE_INTERNE!$B$53*12,IF((POZICIE_INTERNE!$B$53-12*('TCO TO BE- SW'!$D152-1))&lt;0,0,(POZICIE_INTERNE!$B$53-12*('TCO TO BE- SW'!$D152-1))*((N$4+'TCO TO BE - HW'!N$4)/($E$4+'TCO TO BE - HW'!$E$4)*SUM(POZICIE_INTERNE!$I$53:$I$64))/POZICIE_INTERNE!$B$53)),0)+IFERROR(IF((EXTERNE_POZICIE!$B$53-12*('TCO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0</v>
      </c>
      <c r="O162" s="574">
        <f>IFERROR(IF((POZICIE_INTERNE!$B$53-12*('TCO TO BE- SW'!$D152-1))&gt;12,((O$4+'TCO TO BE - HW'!O$4)/($E$4+'TCO TO BE - HW'!$E$4)*SUM(POZICIE_INTERNE!$I$53:$I$64))/POZICIE_INTERNE!$B$53*12,IF((POZICIE_INTERNE!$B$53-12*('TCO TO BE- SW'!$D152-1))&lt;0,0,(POZICIE_INTERNE!$B$53-12*('TCO TO BE- SW'!$D152-1))*((O$4+'TCO TO BE - HW'!O$4)/($E$4+'TCO TO BE - HW'!$E$4)*SUM(POZICIE_INTERNE!$I$53:$I$64))/POZICIE_INTERNE!$B$53)),0)+IFERROR(IF((EXTERNE_POZICIE!$B$53-12*('TCO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0</v>
      </c>
      <c r="P162" s="574">
        <f>IFERROR(IF((POZICIE_INTERNE!$B$53-12*('TCO TO BE- SW'!$D152-1))&gt;12,((P$4+'TCO TO BE - HW'!P$4)/($E$4+'TCO TO BE - HW'!$E$4)*SUM(POZICIE_INTERNE!$I$53:$I$64))/POZICIE_INTERNE!$B$53*12,IF((POZICIE_INTERNE!$B$53-12*('TCO TO BE- SW'!$D152-1))&lt;0,0,(POZICIE_INTERNE!$B$53-12*('TCO TO BE- SW'!$D152-1))*((P$4+'TCO TO BE - HW'!P$4)/($E$4+'TCO TO BE - HW'!$E$4)*SUM(POZICIE_INTERNE!$I$53:$I$64))/POZICIE_INTERNE!$B$53)),0)+IFERROR(IF((EXTERNE_POZICIE!$B$53-12*('TCO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0</v>
      </c>
      <c r="Q162" s="574">
        <f>IFERROR(IF((POZICIE_INTERNE!$B$53-12*('TCO TO BE- SW'!$D152-1))&gt;12,((Q$4+'TCO TO BE - HW'!Q$4)/($E$4+'TCO TO BE - HW'!$E$4)*SUM(POZICIE_INTERNE!$I$53:$I$64))/POZICIE_INTERNE!$B$53*12,IF((POZICIE_INTERNE!$B$53-12*('TCO TO BE- SW'!$D152-1))&lt;0,0,(POZICIE_INTERNE!$B$53-12*('TCO TO BE- SW'!$D152-1))*((Q$4+'TCO TO BE - HW'!Q$4)/($E$4+'TCO TO BE - HW'!$E$4)*SUM(POZICIE_INTERNE!$I$53:$I$64))/POZICIE_INTERNE!$B$53)),0)+IFERROR(IF((EXTERNE_POZICIE!$B$53-12*('TCO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0</v>
      </c>
      <c r="R162" s="574">
        <f>IFERROR(IF((POZICIE_INTERNE!$B$53-12*('TCO TO BE- SW'!$D152-1))&gt;12,((R$4+'TCO TO BE - HW'!R$4)/($E$4+'TCO TO BE - HW'!$E$4)*SUM(POZICIE_INTERNE!$I$53:$I$64))/POZICIE_INTERNE!$B$53*12,IF((POZICIE_INTERNE!$B$53-12*('TCO TO BE- SW'!$D152-1))&lt;0,0,(POZICIE_INTERNE!$B$53-12*('TCO TO BE- SW'!$D152-1))*((R$4+'TCO TO BE - HW'!R$4)/($E$4+'TCO TO BE - HW'!$E$4)*SUM(POZICIE_INTERNE!$I$53:$I$64))/POZICIE_INTERNE!$B$53)),0)+IFERROR(IF((EXTERNE_POZICIE!$B$53-12*('TCO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0</v>
      </c>
      <c r="S162" s="574">
        <f>IFERROR(IF((POZICIE_INTERNE!$B$53-12*('TCO TO BE- SW'!$D152-1))&gt;12,((S$4+'TCO TO BE - HW'!S$4)/($E$4+'TCO TO BE - HW'!$E$4)*SUM(POZICIE_INTERNE!$I$53:$I$64))/POZICIE_INTERNE!$B$53*12,IF((POZICIE_INTERNE!$B$53-12*('TCO TO BE- SW'!$D152-1))&lt;0,0,(POZICIE_INTERNE!$B$53-12*('TCO TO BE- SW'!$D152-1))*((S$4+'TCO TO BE - HW'!S$4)/($E$4+'TCO TO BE - HW'!$E$4)*SUM(POZICIE_INTERNE!$I$53:$I$64))/POZICIE_INTERNE!$B$53)),0)+IFERROR(IF((EXTERNE_POZICIE!$B$53-12*('TCO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0</v>
      </c>
      <c r="T162" s="574">
        <f>IFERROR(IF((POZICIE_INTERNE!$B$53-12*('TCO TO BE- SW'!$D152-1))&gt;12,((T$4+'TCO TO BE - HW'!T$4)/($E$4+'TCO TO BE - HW'!$E$4)*SUM(POZICIE_INTERNE!$I$53:$I$64))/POZICIE_INTERNE!$B$53*12,IF((POZICIE_INTERNE!$B$53-12*('TCO TO BE- SW'!$D152-1))&lt;0,0,(POZICIE_INTERNE!$B$53-12*('TCO TO BE- SW'!$D152-1))*((T$4+'TCO TO BE - HW'!T$4)/($E$4+'TCO TO BE - HW'!$E$4)*SUM(POZICIE_INTERNE!$I$53:$I$64))/POZICIE_INTERNE!$B$53)),0)+IFERROR(IF((EXTERNE_POZICIE!$B$53-12*('TCO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74">
        <f>IFERROR(IF((POZICIE_INTERNE!$B$53-12*('TCO TO BE- SW'!$D152-1))&gt;12,((U$4+'TCO TO BE - HW'!U$4)/($E$4+'TCO TO BE - HW'!$E$4)*SUM(POZICIE_INTERNE!$I$53:$I$64))/POZICIE_INTERNE!$B$53*12,IF((POZICIE_INTERNE!$B$53-12*('TCO TO BE- SW'!$D152-1))&lt;0,0,(POZICIE_INTERNE!$B$53-12*('TCO TO BE- SW'!$D152-1))*((U$4+'TCO TO BE - HW'!U$4)/($E$4+'TCO TO BE - HW'!$E$4)*SUM(POZICIE_INTERNE!$I$53:$I$64))/POZICIE_INTERNE!$B$53)),0)+IFERROR(IF((EXTERNE_POZICIE!$B$53-12*('TCO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74">
        <f>IFERROR(IF((POZICIE_INTERNE!$B$53-12*('TCO TO BE- SW'!$D152-1))&gt;12,((V$4+'TCO TO BE - HW'!V$4)/($E$4+'TCO TO BE - HW'!$E$4)*SUM(POZICIE_INTERNE!$I$53:$I$64))/POZICIE_INTERNE!$B$53*12,IF((POZICIE_INTERNE!$B$53-12*('TCO TO BE- SW'!$D152-1))&lt;0,0,(POZICIE_INTERNE!$B$53-12*('TCO TO BE- SW'!$D152-1))*((V$4+'TCO TO BE - HW'!V$4)/($E$4+'TCO TO BE - HW'!$E$4)*SUM(POZICIE_INTERNE!$I$53:$I$64))/POZICIE_INTERNE!$B$53)),0)+IFERROR(IF((EXTERNE_POZICIE!$B$53-12*('TCO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74">
        <f>IFERROR(IF((POZICIE_INTERNE!$B$53-12*('TCO TO BE- SW'!$D152-1))&gt;12,((W$4+'TCO TO BE - HW'!W$4)/($E$4+'TCO TO BE - HW'!$E$4)*SUM(POZICIE_INTERNE!$I$53:$I$64))/POZICIE_INTERNE!$B$53*12,IF((POZICIE_INTERNE!$B$53-12*('TCO TO BE- SW'!$D152-1))&lt;0,0,(POZICIE_INTERNE!$B$53-12*('TCO TO BE- SW'!$D152-1))*((W$4+'TCO TO BE - HW'!W$4)/($E$4+'TCO TO BE - HW'!$E$4)*SUM(POZICIE_INTERNE!$I$53:$I$64))/POZICIE_INTERNE!$B$53)),0)+IFERROR(IF((EXTERNE_POZICIE!$B$53-12*('TCO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74">
        <f>IFERROR(IF((POZICIE_INTERNE!$B$53-12*('TCO TO BE- SW'!$D152-1))&gt;12,((X$4+'TCO TO BE - HW'!X$4)/($E$4+'TCO TO BE - HW'!$E$4)*SUM(POZICIE_INTERNE!$I$53:$I$64))/POZICIE_INTERNE!$B$53*12,IF((POZICIE_INTERNE!$B$53-12*('TCO TO BE- SW'!$D152-1))&lt;0,0,(POZICIE_INTERNE!$B$53-12*('TCO TO BE- SW'!$D152-1))*((X$4+'TCO TO BE - HW'!X$4)/($E$4+'TCO TO BE - HW'!$E$4)*SUM(POZICIE_INTERNE!$I$53:$I$64))/POZICIE_INTERNE!$B$53)),0)+IFERROR(IF((EXTERNE_POZICIE!$B$53-12*('TCO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74">
        <f>IFERROR(IF((POZICIE_INTERNE!$B$53-12*('TCO TO BE- SW'!$D152-1))&gt;12,((Y$4+'TCO TO BE - HW'!Y$4)/($E$4+'TCO TO BE - HW'!$E$4)*SUM(POZICIE_INTERNE!$I$53:$I$64))/POZICIE_INTERNE!$B$53*12,IF((POZICIE_INTERNE!$B$53-12*('TCO TO BE- SW'!$D152-1))&lt;0,0,(POZICIE_INTERNE!$B$53-12*('TCO TO BE- SW'!$D152-1))*((Y$4+'TCO TO BE - HW'!Y$4)/($E$4+'TCO TO BE - HW'!$E$4)*SUM(POZICIE_INTERNE!$I$53:$I$64))/POZICIE_INTERNE!$B$53)),0)+IFERROR(IF((EXTERNE_POZICIE!$B$53-12*('TCO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74">
        <f>IFERROR(IF((POZICIE_INTERNE!$B$53-12*('TCO TO BE- SW'!$D152-1))&gt;12,((Z$4+'TCO TO BE - HW'!Z$4)/($E$4+'TCO TO BE - HW'!$E$4)*SUM(POZICIE_INTERNE!$I$53:$I$64))/POZICIE_INTERNE!$B$53*12,IF((POZICIE_INTERNE!$B$53-12*('TCO TO BE- SW'!$D152-1))&lt;0,0,(POZICIE_INTERNE!$B$53-12*('TCO TO BE- SW'!$D152-1))*((Z$4+'TCO TO BE - HW'!Z$4)/($E$4+'TCO TO BE - HW'!$E$4)*SUM(POZICIE_INTERNE!$I$53:$I$64))/POZICIE_INTERNE!$B$53)),0)+IFERROR(IF((EXTERNE_POZICIE!$B$53-12*('TCO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c r="A163" s="817"/>
      <c r="B163" s="818"/>
      <c r="C163" s="818"/>
      <c r="D163" s="64">
        <v>3</v>
      </c>
      <c r="E163" s="68">
        <f t="shared" si="16"/>
        <v>0</v>
      </c>
      <c r="F163" s="574">
        <f>IFERROR(IF((POZICIE_INTERNE!$B$53-12*('TCO TO BE- SW'!$D153-1))&gt;12,((F$4+'TCO TO BE - HW'!F$4)/($E$4+'TCO TO BE - HW'!$E$4)*SUM(POZICIE_INTERNE!$I$53:$I$64))/POZICIE_INTERNE!$B$53*12,IF((POZICIE_INTERNE!$B$53-12*('TCO TO BE- SW'!$D153-1))&lt;0,0,(POZICIE_INTERNE!$B$53-12*('TCO TO BE- SW'!$D153-1))*((F$4+'TCO TO BE - HW'!F$4)/($E$4+'TCO TO BE - HW'!$E$4)*SUM(POZICIE_INTERNE!$I$53:$I$64))/POZICIE_INTERNE!$B$53)),0)+IFERROR(IF((EXTERNE_POZICIE!$B$53-12*('TCO TO BE- SW'!$D153-1))&gt;12,((F$4+'TCO TO BE - HW'!F$4)/($E$4+'TCO TO BE - HW'!$E$4)*SUM(EXTERNE_POZICIE!$M$53:$M$64)*1.23)/EXTERNE_POZICIE!$B$41*12,IF((EXTERNE_POZICIE!$B$53-12*('TCO TO BE- SW'!$D153-1))&lt;0,0,(EXTERNE_POZICIE!$B$53-12*('TCO TO BE- SW'!$D153-1))*((F$4+'TCO TO BE - HW'!F$4)/($E$4+'TCO TO BE - HW'!$E$4)*SUM(EXTERNE_POZICIE!$M$53:$M$64)*1.23)/EXTERNE_POZICIE!$B$53)),0)+IFERROR(SUM(#REF!)*'TCO TO BE- SW'!F$4/'TCO TO BE- SW'!$E$4,0)</f>
        <v>0</v>
      </c>
      <c r="G163" s="574">
        <f>IFERROR(IF((POZICIE_INTERNE!$B$53-12*('TCO TO BE- SW'!$D153-1))&gt;12,((G$4+'TCO TO BE - HW'!G$4)/($E$4+'TCO TO BE - HW'!$E$4)*SUM(POZICIE_INTERNE!$I$53:$I$64))/POZICIE_INTERNE!$B$53*12,IF((POZICIE_INTERNE!$B$53-12*('TCO TO BE- SW'!$D153-1))&lt;0,0,(POZICIE_INTERNE!$B$53-12*('TCO TO BE- SW'!$D153-1))*((G$4+'TCO TO BE - HW'!G$4)/($E$4+'TCO TO BE - HW'!$E$4)*SUM(POZICIE_INTERNE!$I$53:$I$64))/POZICIE_INTERNE!$B$53)),0)+IFERROR(IF((EXTERNE_POZICIE!$B$53-12*('TCO TO BE- SW'!$D153-1))&gt;12,((G$4+'TCO TO BE - HW'!G$4)/($E$4+'TCO TO BE - HW'!$E$4)*SUM(EXTERNE_POZICIE!$M$53:$M$64)*1.23)/EXTERNE_POZICIE!$B$41*12,IF((EXTERNE_POZICIE!$B$53-12*('TCO TO BE- SW'!$D153-1))&lt;0,0,(EXTERNE_POZICIE!$B$53-12*('TCO TO BE- SW'!$D153-1))*((G$4+'TCO TO BE - HW'!G$4)/($E$4+'TCO TO BE - HW'!$E$4)*SUM(EXTERNE_POZICIE!$M$53:$M$64)*1.23)/EXTERNE_POZICIE!$B$53)),0)+IFERROR(SUM(#REF!)*'TCO TO BE- SW'!G$4/'TCO TO BE- SW'!$E$4,0)</f>
        <v>0</v>
      </c>
      <c r="H163" s="574">
        <f>IFERROR(IF((POZICIE_INTERNE!$B$53-12*('TCO TO BE- SW'!$D153-1))&gt;12,((H$4+'TCO TO BE - HW'!H$4)/($E$4+'TCO TO BE - HW'!$E$4)*SUM(POZICIE_INTERNE!$I$53:$I$64))/POZICIE_INTERNE!$B$53*12,IF((POZICIE_INTERNE!$B$53-12*('TCO TO BE- SW'!$D153-1))&lt;0,0,(POZICIE_INTERNE!$B$53-12*('TCO TO BE- SW'!$D153-1))*((H$4+'TCO TO BE - HW'!H$4)/($E$4+'TCO TO BE - HW'!$E$4)*SUM(POZICIE_INTERNE!$I$53:$I$64))/POZICIE_INTERNE!$B$53)),0)+IFERROR(IF((EXTERNE_POZICIE!$B$53-12*('TCO TO BE- SW'!$D153-1))&gt;12,((H$4+'TCO TO BE - HW'!H$4)/($E$4+'TCO TO BE - HW'!$E$4)*SUM(EXTERNE_POZICIE!$M$53:$M$64)*1.23)/EXTERNE_POZICIE!$B$41*12,IF((EXTERNE_POZICIE!$B$53-12*('TCO TO BE- SW'!$D153-1))&lt;0,0,(EXTERNE_POZICIE!$B$53-12*('TCO TO BE- SW'!$D153-1))*((H$4+'TCO TO BE - HW'!H$4)/($E$4+'TCO TO BE - HW'!$E$4)*SUM(EXTERNE_POZICIE!$M$53:$M$64)*1.23)/EXTERNE_POZICIE!$B$53)),0)+IFERROR(SUM(#REF!)*'TCO TO BE- SW'!H$4/'TCO TO BE- SW'!$E$4,0)</f>
        <v>0</v>
      </c>
      <c r="I163" s="574">
        <f>IFERROR(IF((POZICIE_INTERNE!$B$53-12*('TCO TO BE- SW'!$D153-1))&gt;12,((I$4+'TCO TO BE - HW'!I$4)/($E$4+'TCO TO BE - HW'!$E$4)*SUM(POZICIE_INTERNE!$I$53:$I$64))/POZICIE_INTERNE!$B$53*12,IF((POZICIE_INTERNE!$B$53-12*('TCO TO BE- SW'!$D153-1))&lt;0,0,(POZICIE_INTERNE!$B$53-12*('TCO TO BE- SW'!$D153-1))*((I$4+'TCO TO BE - HW'!I$4)/($E$4+'TCO TO BE - HW'!$E$4)*SUM(POZICIE_INTERNE!$I$53:$I$64))/POZICIE_INTERNE!$B$53)),0)+IFERROR(IF((EXTERNE_POZICIE!$B$53-12*('TCO TO BE- SW'!$D153-1))&gt;12,((I$4+'TCO TO BE - HW'!I$4)/($E$4+'TCO TO BE - HW'!$E$4)*SUM(EXTERNE_POZICIE!$M$53:$M$64)*1.23)/EXTERNE_POZICIE!$B$41*12,IF((EXTERNE_POZICIE!$B$53-12*('TCO TO BE- SW'!$D153-1))&lt;0,0,(EXTERNE_POZICIE!$B$53-12*('TCO TO BE- SW'!$D153-1))*((I$4+'TCO TO BE - HW'!I$4)/($E$4+'TCO TO BE - HW'!$E$4)*SUM(EXTERNE_POZICIE!$M$53:$M$64)*1.23)/EXTERNE_POZICIE!$B$53)),0)+IFERROR(SUM(#REF!)*'TCO TO BE- SW'!I$4/'TCO TO BE- SW'!$E$4,0)</f>
        <v>0</v>
      </c>
      <c r="J163" s="574">
        <f>IFERROR(IF((POZICIE_INTERNE!$B$53-12*('TCO TO BE- SW'!$D153-1))&gt;12,((J$4+'TCO TO BE - HW'!J$4)/($E$4+'TCO TO BE - HW'!$E$4)*SUM(POZICIE_INTERNE!$I$53:$I$64))/POZICIE_INTERNE!$B$53*12,IF((POZICIE_INTERNE!$B$53-12*('TCO TO BE- SW'!$D153-1))&lt;0,0,(POZICIE_INTERNE!$B$53-12*('TCO TO BE- SW'!$D153-1))*((J$4+'TCO TO BE - HW'!J$4)/($E$4+'TCO TO BE - HW'!$E$4)*SUM(POZICIE_INTERNE!$I$53:$I$64))/POZICIE_INTERNE!$B$53)),0)+IFERROR(IF((EXTERNE_POZICIE!$B$53-12*('TCO TO BE- SW'!$D153-1))&gt;12,((J$4+'TCO TO BE - HW'!J$4)/($E$4+'TCO TO BE - HW'!$E$4)*SUM(EXTERNE_POZICIE!$M$53:$M$64)*1.23)/EXTERNE_POZICIE!$B$41*12,IF((EXTERNE_POZICIE!$B$53-12*('TCO TO BE- SW'!$D153-1))&lt;0,0,(EXTERNE_POZICIE!$B$53-12*('TCO TO BE- SW'!$D153-1))*((J$4+'TCO TO BE - HW'!J$4)/($E$4+'TCO TO BE - HW'!$E$4)*SUM(EXTERNE_POZICIE!$M$53:$M$64)*1.23)/EXTERNE_POZICIE!$B$53)),0)+IFERROR(SUM(#REF!)*'TCO TO BE- SW'!J$4/'TCO TO BE- SW'!$E$4,0)</f>
        <v>0</v>
      </c>
      <c r="K163" s="574">
        <f>IFERROR(IF((POZICIE_INTERNE!$B$53-12*('TCO TO BE- SW'!$D153-1))&gt;12,((K$4+'TCO TO BE - HW'!K$4)/($E$4+'TCO TO BE - HW'!$E$4)*SUM(POZICIE_INTERNE!$I$53:$I$64))/POZICIE_INTERNE!$B$53*12,IF((POZICIE_INTERNE!$B$53-12*('TCO TO BE- SW'!$D153-1))&lt;0,0,(POZICIE_INTERNE!$B$53-12*('TCO TO BE- SW'!$D153-1))*((K$4+'TCO TO BE - HW'!K$4)/($E$4+'TCO TO BE - HW'!$E$4)*SUM(POZICIE_INTERNE!$I$53:$I$64))/POZICIE_INTERNE!$B$53)),0)+IFERROR(IF((EXTERNE_POZICIE!$B$53-12*('TCO TO BE- SW'!$D153-1))&gt;12,((K$4+'TCO TO BE - HW'!K$4)/($E$4+'TCO TO BE - HW'!$E$4)*SUM(EXTERNE_POZICIE!$M$53:$M$64)*1.23)/EXTERNE_POZICIE!$B$41*12,IF((EXTERNE_POZICIE!$B$53-12*('TCO TO BE- SW'!$D153-1))&lt;0,0,(EXTERNE_POZICIE!$B$53-12*('TCO TO BE- SW'!$D153-1))*((K$4+'TCO TO BE - HW'!K$4)/($E$4+'TCO TO BE - HW'!$E$4)*SUM(EXTERNE_POZICIE!$M$53:$M$64)*1.23)/EXTERNE_POZICIE!$B$53)),0)+IFERROR(SUM(#REF!)*'TCO TO BE- SW'!K$4/'TCO TO BE- SW'!$E$4,0)</f>
        <v>0</v>
      </c>
      <c r="L163" s="574">
        <f>IFERROR(IF((POZICIE_INTERNE!$B$53-12*('TCO TO BE- SW'!$D153-1))&gt;12,((L$4+'TCO TO BE - HW'!L$4)/($E$4+'TCO TO BE - HW'!$E$4)*SUM(POZICIE_INTERNE!$I$53:$I$64))/POZICIE_INTERNE!$B$53*12,IF((POZICIE_INTERNE!$B$53-12*('TCO TO BE- SW'!$D153-1))&lt;0,0,(POZICIE_INTERNE!$B$53-12*('TCO TO BE- SW'!$D153-1))*((L$4+'TCO TO BE - HW'!L$4)/($E$4+'TCO TO BE - HW'!$E$4)*SUM(POZICIE_INTERNE!$I$53:$I$64))/POZICIE_INTERNE!$B$53)),0)+IFERROR(IF((EXTERNE_POZICIE!$B$53-12*('TCO TO BE- SW'!$D153-1))&gt;12,((L$4+'TCO TO BE - HW'!L$4)/($E$4+'TCO TO BE - HW'!$E$4)*SUM(EXTERNE_POZICIE!$M$53:$M$64)*1.23)/EXTERNE_POZICIE!$B$41*12,IF((EXTERNE_POZICIE!$B$53-12*('TCO TO BE- SW'!$D153-1))&lt;0,0,(EXTERNE_POZICIE!$B$53-12*('TCO TO BE- SW'!$D153-1))*((L$4+'TCO TO BE - HW'!L$4)/($E$4+'TCO TO BE - HW'!$E$4)*SUM(EXTERNE_POZICIE!$M$53:$M$64)*1.23)/EXTERNE_POZICIE!$B$53)),0)+IFERROR(SUM(#REF!)*'TCO TO BE- SW'!L$4/'TCO TO BE- SW'!$E$4,0)</f>
        <v>0</v>
      </c>
      <c r="M163" s="574">
        <f>IFERROR(IF((POZICIE_INTERNE!$B$53-12*('TCO TO BE- SW'!$D153-1))&gt;12,((M$4+'TCO TO BE - HW'!M$4)/($E$4+'TCO TO BE - HW'!$E$4)*SUM(POZICIE_INTERNE!$I$53:$I$64))/POZICIE_INTERNE!$B$53*12,IF((POZICIE_INTERNE!$B$53-12*('TCO TO BE- SW'!$D153-1))&lt;0,0,(POZICIE_INTERNE!$B$53-12*('TCO TO BE- SW'!$D153-1))*((M$4+'TCO TO BE - HW'!M$4)/($E$4+'TCO TO BE - HW'!$E$4)*SUM(POZICIE_INTERNE!$I$53:$I$64))/POZICIE_INTERNE!$B$53)),0)+IFERROR(IF((EXTERNE_POZICIE!$B$53-12*('TCO TO BE- SW'!$D153-1))&gt;12,((M$4+'TCO TO BE - HW'!M$4)/($E$4+'TCO TO BE - HW'!$E$4)*SUM(EXTERNE_POZICIE!$M$53:$M$64)*1.23)/EXTERNE_POZICIE!$B$41*12,IF((EXTERNE_POZICIE!$B$53-12*('TCO TO BE- SW'!$D153-1))&lt;0,0,(EXTERNE_POZICIE!$B$53-12*('TCO TO BE- SW'!$D153-1))*((M$4+'TCO TO BE - HW'!M$4)/($E$4+'TCO TO BE - HW'!$E$4)*SUM(EXTERNE_POZICIE!$M$53:$M$64)*1.23)/EXTERNE_POZICIE!$B$53)),0)+IFERROR(SUM(#REF!)*'TCO TO BE- SW'!M$4/'TCO TO BE- SW'!$E$4,0)</f>
        <v>0</v>
      </c>
      <c r="N163" s="574">
        <f>IFERROR(IF((POZICIE_INTERNE!$B$53-12*('TCO TO BE- SW'!$D153-1))&gt;12,((N$4+'TCO TO BE - HW'!N$4)/($E$4+'TCO TO BE - HW'!$E$4)*SUM(POZICIE_INTERNE!$I$53:$I$64))/POZICIE_INTERNE!$B$53*12,IF((POZICIE_INTERNE!$B$53-12*('TCO TO BE- SW'!$D153-1))&lt;0,0,(POZICIE_INTERNE!$B$53-12*('TCO TO BE- SW'!$D153-1))*((N$4+'TCO TO BE - HW'!N$4)/($E$4+'TCO TO BE - HW'!$E$4)*SUM(POZICIE_INTERNE!$I$53:$I$64))/POZICIE_INTERNE!$B$53)),0)+IFERROR(IF((EXTERNE_POZICIE!$B$53-12*('TCO TO BE- SW'!$D153-1))&gt;12,((N$4+'TCO TO BE - HW'!N$4)/($E$4+'TCO TO BE - HW'!$E$4)*SUM(EXTERNE_POZICIE!$M$53:$M$64)*1.23)/EXTERNE_POZICIE!$B$41*12,IF((EXTERNE_POZICIE!$B$53-12*('TCO TO BE- SW'!$D153-1))&lt;0,0,(EXTERNE_POZICIE!$B$53-12*('TCO TO BE- SW'!$D153-1))*((N$4+'TCO TO BE - HW'!N$4)/($E$4+'TCO TO BE - HW'!$E$4)*SUM(EXTERNE_POZICIE!$M$53:$M$64)*1.23)/EXTERNE_POZICIE!$B$53)),0)+IFERROR(SUM(#REF!)*'TCO TO BE- SW'!N$4/'TCO TO BE- SW'!$E$4,0)</f>
        <v>0</v>
      </c>
      <c r="O163" s="574">
        <f>IFERROR(IF((POZICIE_INTERNE!$B$53-12*('TCO TO BE- SW'!$D153-1))&gt;12,((O$4+'TCO TO BE - HW'!O$4)/($E$4+'TCO TO BE - HW'!$E$4)*SUM(POZICIE_INTERNE!$I$53:$I$64))/POZICIE_INTERNE!$B$53*12,IF((POZICIE_INTERNE!$B$53-12*('TCO TO BE- SW'!$D153-1))&lt;0,0,(POZICIE_INTERNE!$B$53-12*('TCO TO BE- SW'!$D153-1))*((O$4+'TCO TO BE - HW'!O$4)/($E$4+'TCO TO BE - HW'!$E$4)*SUM(POZICIE_INTERNE!$I$53:$I$64))/POZICIE_INTERNE!$B$53)),0)+IFERROR(IF((EXTERNE_POZICIE!$B$53-12*('TCO TO BE- SW'!$D153-1))&gt;12,((O$4+'TCO TO BE - HW'!O$4)/($E$4+'TCO TO BE - HW'!$E$4)*SUM(EXTERNE_POZICIE!$M$53:$M$64)*1.23)/EXTERNE_POZICIE!$B$41*12,IF((EXTERNE_POZICIE!$B$53-12*('TCO TO BE- SW'!$D153-1))&lt;0,0,(EXTERNE_POZICIE!$B$53-12*('TCO TO BE- SW'!$D153-1))*((O$4+'TCO TO BE - HW'!O$4)/($E$4+'TCO TO BE - HW'!$E$4)*SUM(EXTERNE_POZICIE!$M$53:$M$64)*1.23)/EXTERNE_POZICIE!$B$53)),0)+IFERROR(SUM(#REF!)*'TCO TO BE- SW'!O$4/'TCO TO BE- SW'!$E$4,0)</f>
        <v>0</v>
      </c>
      <c r="P163" s="574">
        <f>IFERROR(IF((POZICIE_INTERNE!$B$53-12*('TCO TO BE- SW'!$D153-1))&gt;12,((P$4+'TCO TO BE - HW'!P$4)/($E$4+'TCO TO BE - HW'!$E$4)*SUM(POZICIE_INTERNE!$I$53:$I$64))/POZICIE_INTERNE!$B$53*12,IF((POZICIE_INTERNE!$B$53-12*('TCO TO BE- SW'!$D153-1))&lt;0,0,(POZICIE_INTERNE!$B$53-12*('TCO TO BE- SW'!$D153-1))*((P$4+'TCO TO BE - HW'!P$4)/($E$4+'TCO TO BE - HW'!$E$4)*SUM(POZICIE_INTERNE!$I$53:$I$64))/POZICIE_INTERNE!$B$53)),0)+IFERROR(IF((EXTERNE_POZICIE!$B$53-12*('TCO TO BE- SW'!$D153-1))&gt;12,((P$4+'TCO TO BE - HW'!P$4)/($E$4+'TCO TO BE - HW'!$E$4)*SUM(EXTERNE_POZICIE!$M$53:$M$64)*1.23)/EXTERNE_POZICIE!$B$41*12,IF((EXTERNE_POZICIE!$B$53-12*('TCO TO BE- SW'!$D153-1))&lt;0,0,(EXTERNE_POZICIE!$B$53-12*('TCO TO BE- SW'!$D153-1))*((P$4+'TCO TO BE - HW'!P$4)/($E$4+'TCO TO BE - HW'!$E$4)*SUM(EXTERNE_POZICIE!$M$53:$M$64)*1.23)/EXTERNE_POZICIE!$B$53)),0)+IFERROR(SUM(#REF!)*'TCO TO BE- SW'!P$4/'TCO TO BE- SW'!$E$4,0)</f>
        <v>0</v>
      </c>
      <c r="Q163" s="574">
        <f>IFERROR(IF((POZICIE_INTERNE!$B$53-12*('TCO TO BE- SW'!$D153-1))&gt;12,((Q$4+'TCO TO BE - HW'!Q$4)/($E$4+'TCO TO BE - HW'!$E$4)*SUM(POZICIE_INTERNE!$I$53:$I$64))/POZICIE_INTERNE!$B$53*12,IF((POZICIE_INTERNE!$B$53-12*('TCO TO BE- SW'!$D153-1))&lt;0,0,(POZICIE_INTERNE!$B$53-12*('TCO TO BE- SW'!$D153-1))*((Q$4+'TCO TO BE - HW'!Q$4)/($E$4+'TCO TO BE - HW'!$E$4)*SUM(POZICIE_INTERNE!$I$53:$I$64))/POZICIE_INTERNE!$B$53)),0)+IFERROR(IF((EXTERNE_POZICIE!$B$53-12*('TCO TO BE- SW'!$D153-1))&gt;12,((Q$4+'TCO TO BE - HW'!Q$4)/($E$4+'TCO TO BE - HW'!$E$4)*SUM(EXTERNE_POZICIE!$M$53:$M$64)*1.23)/EXTERNE_POZICIE!$B$41*12,IF((EXTERNE_POZICIE!$B$53-12*('TCO TO BE- SW'!$D153-1))&lt;0,0,(EXTERNE_POZICIE!$B$53-12*('TCO TO BE- SW'!$D153-1))*((Q$4+'TCO TO BE - HW'!Q$4)/($E$4+'TCO TO BE - HW'!$E$4)*SUM(EXTERNE_POZICIE!$M$53:$M$64)*1.23)/EXTERNE_POZICIE!$B$53)),0)+IFERROR(SUM(#REF!)*'TCO TO BE- SW'!Q$4/'TCO TO BE- SW'!$E$4,0)</f>
        <v>0</v>
      </c>
      <c r="R163" s="574">
        <f>IFERROR(IF((POZICIE_INTERNE!$B$53-12*('TCO TO BE- SW'!$D153-1))&gt;12,((R$4+'TCO TO BE - HW'!R$4)/($E$4+'TCO TO BE - HW'!$E$4)*SUM(POZICIE_INTERNE!$I$53:$I$64))/POZICIE_INTERNE!$B$53*12,IF((POZICIE_INTERNE!$B$53-12*('TCO TO BE- SW'!$D153-1))&lt;0,0,(POZICIE_INTERNE!$B$53-12*('TCO TO BE- SW'!$D153-1))*((R$4+'TCO TO BE - HW'!R$4)/($E$4+'TCO TO BE - HW'!$E$4)*SUM(POZICIE_INTERNE!$I$53:$I$64))/POZICIE_INTERNE!$B$53)),0)+IFERROR(IF((EXTERNE_POZICIE!$B$53-12*('TCO TO BE- SW'!$D153-1))&gt;12,((R$4+'TCO TO BE - HW'!R$4)/($E$4+'TCO TO BE - HW'!$E$4)*SUM(EXTERNE_POZICIE!$M$53:$M$64)*1.23)/EXTERNE_POZICIE!$B$41*12,IF((EXTERNE_POZICIE!$B$53-12*('TCO TO BE- SW'!$D153-1))&lt;0,0,(EXTERNE_POZICIE!$B$53-12*('TCO TO BE- SW'!$D153-1))*((R$4+'TCO TO BE - HW'!R$4)/($E$4+'TCO TO BE - HW'!$E$4)*SUM(EXTERNE_POZICIE!$M$53:$M$64)*1.23)/EXTERNE_POZICIE!$B$53)),0)+IFERROR(SUM(#REF!)*'TCO TO BE- SW'!R$4/'TCO TO BE- SW'!$E$4,0)</f>
        <v>0</v>
      </c>
      <c r="S163" s="574">
        <f>IFERROR(IF((POZICIE_INTERNE!$B$53-12*('TCO TO BE- SW'!$D153-1))&gt;12,((S$4+'TCO TO BE - HW'!S$4)/($E$4+'TCO TO BE - HW'!$E$4)*SUM(POZICIE_INTERNE!$I$53:$I$64))/POZICIE_INTERNE!$B$53*12,IF((POZICIE_INTERNE!$B$53-12*('TCO TO BE- SW'!$D153-1))&lt;0,0,(POZICIE_INTERNE!$B$53-12*('TCO TO BE- SW'!$D153-1))*((S$4+'TCO TO BE - HW'!S$4)/($E$4+'TCO TO BE - HW'!$E$4)*SUM(POZICIE_INTERNE!$I$53:$I$64))/POZICIE_INTERNE!$B$53)),0)+IFERROR(IF((EXTERNE_POZICIE!$B$53-12*('TCO TO BE- SW'!$D153-1))&gt;12,((S$4+'TCO TO BE - HW'!S$4)/($E$4+'TCO TO BE - HW'!$E$4)*SUM(EXTERNE_POZICIE!$M$53:$M$64)*1.23)/EXTERNE_POZICIE!$B$41*12,IF((EXTERNE_POZICIE!$B$53-12*('TCO TO BE- SW'!$D153-1))&lt;0,0,(EXTERNE_POZICIE!$B$53-12*('TCO TO BE- SW'!$D153-1))*((S$4+'TCO TO BE - HW'!S$4)/($E$4+'TCO TO BE - HW'!$E$4)*SUM(EXTERNE_POZICIE!$M$53:$M$64)*1.23)/EXTERNE_POZICIE!$B$53)),0)+IFERROR(SUM(#REF!)*'TCO TO BE- SW'!S$4/'TCO TO BE- SW'!$E$4,0)</f>
        <v>0</v>
      </c>
      <c r="T163" s="574">
        <f>IFERROR(IF((POZICIE_INTERNE!$B$53-12*('TCO TO BE- SW'!$D153-1))&gt;12,((T$4+'TCO TO BE - HW'!T$4)/($E$4+'TCO TO BE - HW'!$E$4)*SUM(POZICIE_INTERNE!$I$53:$I$64))/POZICIE_INTERNE!$B$53*12,IF((POZICIE_INTERNE!$B$53-12*('TCO TO BE- SW'!$D153-1))&lt;0,0,(POZICIE_INTERNE!$B$53-12*('TCO TO BE- SW'!$D153-1))*((T$4+'TCO TO BE - HW'!T$4)/($E$4+'TCO TO BE - HW'!$E$4)*SUM(POZICIE_INTERNE!$I$53:$I$64))/POZICIE_INTERNE!$B$53)),0)+IFERROR(IF((EXTERNE_POZICIE!$B$53-12*('TCO TO BE- SW'!$D153-1))&gt;12,((T$4+'TCO TO BE - HW'!T$4)/($E$4+'TCO TO BE - HW'!$E$4)*SUM(EXTERNE_POZICIE!$M$53:$M$64)*1.23)/EXTERNE_POZICIE!$B$41*12,IF((EXTERNE_POZICIE!$B$53-12*('TCO TO BE- SW'!$D153-1))&lt;0,0,(EXTERNE_POZICIE!$B$53-12*('TCO TO BE- SW'!$D153-1))*((T$4+'TCO TO BE - HW'!T$4)/($E$4+'TCO TO BE - HW'!$E$4)*SUM(EXTERNE_POZICIE!$M$53:$M$64)*1.23)/EXTERNE_POZICIE!$B$53)),0)+IFERROR(SUM(#REF!)*'TCO TO BE- SW'!T$4/'TCO TO BE- SW'!$E$4,0)</f>
        <v>0</v>
      </c>
      <c r="U163" s="574">
        <f>IFERROR(IF((POZICIE_INTERNE!$B$53-12*('TCO TO BE- SW'!$D153-1))&gt;12,((U$4+'TCO TO BE - HW'!U$4)/($E$4+'TCO TO BE - HW'!$E$4)*SUM(POZICIE_INTERNE!$I$53:$I$64))/POZICIE_INTERNE!$B$53*12,IF((POZICIE_INTERNE!$B$53-12*('TCO TO BE- SW'!$D153-1))&lt;0,0,(POZICIE_INTERNE!$B$53-12*('TCO TO BE- SW'!$D153-1))*((U$4+'TCO TO BE - HW'!U$4)/($E$4+'TCO TO BE - HW'!$E$4)*SUM(POZICIE_INTERNE!$I$53:$I$64))/POZICIE_INTERNE!$B$53)),0)+IFERROR(IF((EXTERNE_POZICIE!$B$53-12*('TCO TO BE- SW'!$D153-1))&gt;12,((U$4+'TCO TO BE - HW'!U$4)/($E$4+'TCO TO BE - HW'!$E$4)*SUM(EXTERNE_POZICIE!$M$53:$M$64)*1.23)/EXTERNE_POZICIE!$B$41*12,IF((EXTERNE_POZICIE!$B$53-12*('TCO TO BE- SW'!$D153-1))&lt;0,0,(EXTERNE_POZICIE!$B$53-12*('TCO TO BE- SW'!$D153-1))*((U$4+'TCO TO BE - HW'!U$4)/($E$4+'TCO TO BE - HW'!$E$4)*SUM(EXTERNE_POZICIE!$M$53:$M$64)*1.23)/EXTERNE_POZICIE!$B$53)),0)+IFERROR(SUM(#REF!)*'TCO TO BE- SW'!U$4/'TCO TO BE- SW'!$E$4,0)</f>
        <v>0</v>
      </c>
      <c r="V163" s="574">
        <f>IFERROR(IF((POZICIE_INTERNE!$B$53-12*('TCO TO BE- SW'!$D153-1))&gt;12,((V$4+'TCO TO BE - HW'!V$4)/($E$4+'TCO TO BE - HW'!$E$4)*SUM(POZICIE_INTERNE!$I$53:$I$64))/POZICIE_INTERNE!$B$53*12,IF((POZICIE_INTERNE!$B$53-12*('TCO TO BE- SW'!$D153-1))&lt;0,0,(POZICIE_INTERNE!$B$53-12*('TCO TO BE- SW'!$D153-1))*((V$4+'TCO TO BE - HW'!V$4)/($E$4+'TCO TO BE - HW'!$E$4)*SUM(POZICIE_INTERNE!$I$53:$I$64))/POZICIE_INTERNE!$B$53)),0)+IFERROR(IF((EXTERNE_POZICIE!$B$53-12*('TCO TO BE- SW'!$D153-1))&gt;12,((V$4+'TCO TO BE - HW'!V$4)/($E$4+'TCO TO BE - HW'!$E$4)*SUM(EXTERNE_POZICIE!$M$53:$M$64)*1.23)/EXTERNE_POZICIE!$B$41*12,IF((EXTERNE_POZICIE!$B$53-12*('TCO TO BE- SW'!$D153-1))&lt;0,0,(EXTERNE_POZICIE!$B$53-12*('TCO TO BE- SW'!$D153-1))*((V$4+'TCO TO BE - HW'!V$4)/($E$4+'TCO TO BE - HW'!$E$4)*SUM(EXTERNE_POZICIE!$M$53:$M$64)*1.23)/EXTERNE_POZICIE!$B$53)),0)+IFERROR(SUM(#REF!)*'TCO TO BE- SW'!V$4/'TCO TO BE- SW'!$E$4,0)</f>
        <v>0</v>
      </c>
      <c r="W163" s="574">
        <f>IFERROR(IF((POZICIE_INTERNE!$B$53-12*('TCO TO BE- SW'!$D153-1))&gt;12,((W$4+'TCO TO BE - HW'!W$4)/($E$4+'TCO TO BE - HW'!$E$4)*SUM(POZICIE_INTERNE!$I$53:$I$64))/POZICIE_INTERNE!$B$53*12,IF((POZICIE_INTERNE!$B$53-12*('TCO TO BE- SW'!$D153-1))&lt;0,0,(POZICIE_INTERNE!$B$53-12*('TCO TO BE- SW'!$D153-1))*((W$4+'TCO TO BE - HW'!W$4)/($E$4+'TCO TO BE - HW'!$E$4)*SUM(POZICIE_INTERNE!$I$53:$I$64))/POZICIE_INTERNE!$B$53)),0)+IFERROR(IF((EXTERNE_POZICIE!$B$53-12*('TCO TO BE- SW'!$D153-1))&gt;12,((W$4+'TCO TO BE - HW'!W$4)/($E$4+'TCO TO BE - HW'!$E$4)*SUM(EXTERNE_POZICIE!$M$53:$M$64)*1.23)/EXTERNE_POZICIE!$B$41*12,IF((EXTERNE_POZICIE!$B$53-12*('TCO TO BE- SW'!$D153-1))&lt;0,0,(EXTERNE_POZICIE!$B$53-12*('TCO TO BE- SW'!$D153-1))*((W$4+'TCO TO BE - HW'!W$4)/($E$4+'TCO TO BE - HW'!$E$4)*SUM(EXTERNE_POZICIE!$M$53:$M$64)*1.23)/EXTERNE_POZICIE!$B$53)),0)+IFERROR(SUM(#REF!)*'TCO TO BE- SW'!W$4/'TCO TO BE- SW'!$E$4,0)</f>
        <v>0</v>
      </c>
      <c r="X163" s="574">
        <f>IFERROR(IF((POZICIE_INTERNE!$B$53-12*('TCO TO BE- SW'!$D153-1))&gt;12,((X$4+'TCO TO BE - HW'!X$4)/($E$4+'TCO TO BE - HW'!$E$4)*SUM(POZICIE_INTERNE!$I$53:$I$64))/POZICIE_INTERNE!$B$53*12,IF((POZICIE_INTERNE!$B$53-12*('TCO TO BE- SW'!$D153-1))&lt;0,0,(POZICIE_INTERNE!$B$53-12*('TCO TO BE- SW'!$D153-1))*((X$4+'TCO TO BE - HW'!X$4)/($E$4+'TCO TO BE - HW'!$E$4)*SUM(POZICIE_INTERNE!$I$53:$I$64))/POZICIE_INTERNE!$B$53)),0)+IFERROR(IF((EXTERNE_POZICIE!$B$53-12*('TCO TO BE- SW'!$D153-1))&gt;12,((X$4+'TCO TO BE - HW'!X$4)/($E$4+'TCO TO BE - HW'!$E$4)*SUM(EXTERNE_POZICIE!$M$53:$M$64)*1.23)/EXTERNE_POZICIE!$B$41*12,IF((EXTERNE_POZICIE!$B$53-12*('TCO TO BE- SW'!$D153-1))&lt;0,0,(EXTERNE_POZICIE!$B$53-12*('TCO TO BE- SW'!$D153-1))*((X$4+'TCO TO BE - HW'!X$4)/($E$4+'TCO TO BE - HW'!$E$4)*SUM(EXTERNE_POZICIE!$M$53:$M$64)*1.23)/EXTERNE_POZICIE!$B$53)),0)+IFERROR(SUM(#REF!)*'TCO TO BE- SW'!X$4/'TCO TO BE- SW'!$E$4,0)</f>
        <v>0</v>
      </c>
      <c r="Y163" s="574">
        <f>IFERROR(IF((POZICIE_INTERNE!$B$53-12*('TCO TO BE- SW'!$D153-1))&gt;12,((Y$4+'TCO TO BE - HW'!Y$4)/($E$4+'TCO TO BE - HW'!$E$4)*SUM(POZICIE_INTERNE!$I$53:$I$64))/POZICIE_INTERNE!$B$53*12,IF((POZICIE_INTERNE!$B$53-12*('TCO TO BE- SW'!$D153-1))&lt;0,0,(POZICIE_INTERNE!$B$53-12*('TCO TO BE- SW'!$D153-1))*((Y$4+'TCO TO BE - HW'!Y$4)/($E$4+'TCO TO BE - HW'!$E$4)*SUM(POZICIE_INTERNE!$I$53:$I$64))/POZICIE_INTERNE!$B$53)),0)+IFERROR(IF((EXTERNE_POZICIE!$B$53-12*('TCO TO BE- SW'!$D153-1))&gt;12,((Y$4+'TCO TO BE - HW'!Y$4)/($E$4+'TCO TO BE - HW'!$E$4)*SUM(EXTERNE_POZICIE!$M$53:$M$64)*1.23)/EXTERNE_POZICIE!$B$41*12,IF((EXTERNE_POZICIE!$B$53-12*('TCO TO BE- SW'!$D153-1))&lt;0,0,(EXTERNE_POZICIE!$B$53-12*('TCO TO BE- SW'!$D153-1))*((Y$4+'TCO TO BE - HW'!Y$4)/($E$4+'TCO TO BE - HW'!$E$4)*SUM(EXTERNE_POZICIE!$M$53:$M$64)*1.23)/EXTERNE_POZICIE!$B$53)),0)+IFERROR(SUM(#REF!)*'TCO TO BE- SW'!Y$4/'TCO TO BE- SW'!$E$4,0)</f>
        <v>0</v>
      </c>
      <c r="Z163" s="574">
        <f>IFERROR(IF((POZICIE_INTERNE!$B$53-12*('TCO TO BE- SW'!$D153-1))&gt;12,((Z$4+'TCO TO BE - HW'!Z$4)/($E$4+'TCO TO BE - HW'!$E$4)*SUM(POZICIE_INTERNE!$I$53:$I$64))/POZICIE_INTERNE!$B$53*12,IF((POZICIE_INTERNE!$B$53-12*('TCO TO BE- SW'!$D153-1))&lt;0,0,(POZICIE_INTERNE!$B$53-12*('TCO TO BE- SW'!$D153-1))*((Z$4+'TCO TO BE - HW'!Z$4)/($E$4+'TCO TO BE - HW'!$E$4)*SUM(POZICIE_INTERNE!$I$53:$I$64))/POZICIE_INTERNE!$B$53)),0)+IFERROR(IF((EXTERNE_POZICIE!$B$53-12*('TCO TO BE- SW'!$D153-1))&gt;12,((Z$4+'TCO TO BE - HW'!Z$4)/($E$4+'TCO TO BE - HW'!$E$4)*SUM(EXTERNE_POZICIE!$M$53:$M$64)*1.23)/EXTERNE_POZICIE!$B$41*12,IF((EXTERNE_POZICIE!$B$53-12*('TCO TO BE- SW'!$D153-1))&lt;0,0,(EXTERNE_POZICIE!$B$53-12*('TCO TO BE- SW'!$D153-1))*((Z$4+'TCO TO BE - HW'!Z$4)/($E$4+'TCO TO BE - HW'!$E$4)*SUM(EXTERNE_POZICIE!$M$53:$M$64)*1.23)/EXTERNE_POZICIE!$B$53)),0)+IFERROR(SUM(#REF!)*'TCO TO BE- SW'!Z$4/'TCO TO BE- SW'!$E$4,0)</f>
        <v>0</v>
      </c>
    </row>
    <row r="164" spans="1:26">
      <c r="A164" s="817"/>
      <c r="B164" s="818"/>
      <c r="C164" s="818"/>
      <c r="D164" s="64">
        <v>4</v>
      </c>
      <c r="E164" s="68">
        <f t="shared" si="16"/>
        <v>0</v>
      </c>
      <c r="F164" s="574">
        <f>IFERROR(IF((POZICIE_INTERNE!$B$53-12*('TCO TO BE- SW'!$D154-1))&gt;12,((F$4+'TCO TO BE - HW'!F$4)/($E$4+'TCO TO BE - HW'!$E$4)*SUM(POZICIE_INTERNE!$I$53:$I$64))/POZICIE_INTERNE!$B$53*12,IF((POZICIE_INTERNE!$B$53-12*('TCO TO BE- SW'!$D154-1))&lt;0,0,(POZICIE_INTERNE!$B$53-12*('TCO TO BE- SW'!$D154-1))*((F$4+'TCO TO BE - HW'!F$4)/($E$4+'TCO TO BE - HW'!$E$4)*SUM(POZICIE_INTERNE!$I$53:$I$64))/POZICIE_INTERNE!$B$53)),0)+IFERROR(IF((EXTERNE_POZICIE!$B$53-12*('TCO TO BE- SW'!$D154-1))&gt;12,((F$4+'TCO TO BE - HW'!F$4)/($E$4+'TCO TO BE - HW'!$E$4)*SUM(EXTERNE_POZICIE!$M$53:$M$64)*1.23)/EXTERNE_POZICIE!$B$41*12,IF((EXTERNE_POZICIE!$B$53-12*('TCO TO BE- SW'!$D154-1))&lt;0,0,(EXTERNE_POZICIE!$B$53-12*('TCO TO BE- SW'!$D154-1))*((F$4+'TCO TO BE - HW'!F$4)/($E$4+'TCO TO BE - HW'!$E$4)*SUM(EXTERNE_POZICIE!$M$53:$M$64)*1.23)/EXTERNE_POZICIE!$B$53)),0)+IFERROR(SUM(#REF!)*'TCO TO BE- SW'!F$4/'TCO TO BE- SW'!$E$4,0)</f>
        <v>0</v>
      </c>
      <c r="G164" s="574">
        <f>IFERROR(IF((POZICIE_INTERNE!$B$53-12*('TCO TO BE- SW'!$D154-1))&gt;12,((G$4+'TCO TO BE - HW'!G$4)/($E$4+'TCO TO BE - HW'!$E$4)*SUM(POZICIE_INTERNE!$I$53:$I$64))/POZICIE_INTERNE!$B$53*12,IF((POZICIE_INTERNE!$B$53-12*('TCO TO BE- SW'!$D154-1))&lt;0,0,(POZICIE_INTERNE!$B$53-12*('TCO TO BE- SW'!$D154-1))*((G$4+'TCO TO BE - HW'!G$4)/($E$4+'TCO TO BE - HW'!$E$4)*SUM(POZICIE_INTERNE!$I$53:$I$64))/POZICIE_INTERNE!$B$53)),0)+IFERROR(IF((EXTERNE_POZICIE!$B$53-12*('TCO TO BE- SW'!$D154-1))&gt;12,((G$4+'TCO TO BE - HW'!G$4)/($E$4+'TCO TO BE - HW'!$E$4)*SUM(EXTERNE_POZICIE!$M$53:$M$64)*1.23)/EXTERNE_POZICIE!$B$41*12,IF((EXTERNE_POZICIE!$B$53-12*('TCO TO BE- SW'!$D154-1))&lt;0,0,(EXTERNE_POZICIE!$B$53-12*('TCO TO BE- SW'!$D154-1))*((G$4+'TCO TO BE - HW'!G$4)/($E$4+'TCO TO BE - HW'!$E$4)*SUM(EXTERNE_POZICIE!$M$53:$M$64)*1.23)/EXTERNE_POZICIE!$B$53)),0)+IFERROR(SUM(#REF!)*'TCO TO BE- SW'!G$4/'TCO TO BE- SW'!$E$4,0)</f>
        <v>0</v>
      </c>
      <c r="H164" s="574">
        <f>IFERROR(IF((POZICIE_INTERNE!$B$53-12*('TCO TO BE- SW'!$D154-1))&gt;12,((H$4+'TCO TO BE - HW'!H$4)/($E$4+'TCO TO BE - HW'!$E$4)*SUM(POZICIE_INTERNE!$I$53:$I$64))/POZICIE_INTERNE!$B$53*12,IF((POZICIE_INTERNE!$B$53-12*('TCO TO BE- SW'!$D154-1))&lt;0,0,(POZICIE_INTERNE!$B$53-12*('TCO TO BE- SW'!$D154-1))*((H$4+'TCO TO BE - HW'!H$4)/($E$4+'TCO TO BE - HW'!$E$4)*SUM(POZICIE_INTERNE!$I$53:$I$64))/POZICIE_INTERNE!$B$53)),0)+IFERROR(IF((EXTERNE_POZICIE!$B$53-12*('TCO TO BE- SW'!$D154-1))&gt;12,((H$4+'TCO TO BE - HW'!H$4)/($E$4+'TCO TO BE - HW'!$E$4)*SUM(EXTERNE_POZICIE!$M$53:$M$64)*1.23)/EXTERNE_POZICIE!$B$41*12,IF((EXTERNE_POZICIE!$B$53-12*('TCO TO BE- SW'!$D154-1))&lt;0,0,(EXTERNE_POZICIE!$B$53-12*('TCO TO BE- SW'!$D154-1))*((H$4+'TCO TO BE - HW'!H$4)/($E$4+'TCO TO BE - HW'!$E$4)*SUM(EXTERNE_POZICIE!$M$53:$M$64)*1.23)/EXTERNE_POZICIE!$B$53)),0)+IFERROR(SUM(#REF!)*'TCO TO BE- SW'!H$4/'TCO TO BE- SW'!$E$4,0)</f>
        <v>0</v>
      </c>
      <c r="I164" s="574">
        <f>IFERROR(IF((POZICIE_INTERNE!$B$53-12*('TCO TO BE- SW'!$D154-1))&gt;12,((I$4+'TCO TO BE - HW'!I$4)/($E$4+'TCO TO BE - HW'!$E$4)*SUM(POZICIE_INTERNE!$I$53:$I$64))/POZICIE_INTERNE!$B$53*12,IF((POZICIE_INTERNE!$B$53-12*('TCO TO BE- SW'!$D154-1))&lt;0,0,(POZICIE_INTERNE!$B$53-12*('TCO TO BE- SW'!$D154-1))*((I$4+'TCO TO BE - HW'!I$4)/($E$4+'TCO TO BE - HW'!$E$4)*SUM(POZICIE_INTERNE!$I$53:$I$64))/POZICIE_INTERNE!$B$53)),0)+IFERROR(IF((EXTERNE_POZICIE!$B$53-12*('TCO TO BE- SW'!$D154-1))&gt;12,((I$4+'TCO TO BE - HW'!I$4)/($E$4+'TCO TO BE - HW'!$E$4)*SUM(EXTERNE_POZICIE!$M$53:$M$64)*1.23)/EXTERNE_POZICIE!$B$41*12,IF((EXTERNE_POZICIE!$B$53-12*('TCO TO BE- SW'!$D154-1))&lt;0,0,(EXTERNE_POZICIE!$B$53-12*('TCO TO BE- SW'!$D154-1))*((I$4+'TCO TO BE - HW'!I$4)/($E$4+'TCO TO BE - HW'!$E$4)*SUM(EXTERNE_POZICIE!$M$53:$M$64)*1.23)/EXTERNE_POZICIE!$B$53)),0)+IFERROR(SUM(#REF!)*'TCO TO BE- SW'!I$4/'TCO TO BE- SW'!$E$4,0)</f>
        <v>0</v>
      </c>
      <c r="J164" s="574">
        <f>IFERROR(IF((POZICIE_INTERNE!$B$53-12*('TCO TO BE- SW'!$D154-1))&gt;12,((J$4+'TCO TO BE - HW'!J$4)/($E$4+'TCO TO BE - HW'!$E$4)*SUM(POZICIE_INTERNE!$I$53:$I$64))/POZICIE_INTERNE!$B$53*12,IF((POZICIE_INTERNE!$B$53-12*('TCO TO BE- SW'!$D154-1))&lt;0,0,(POZICIE_INTERNE!$B$53-12*('TCO TO BE- SW'!$D154-1))*((J$4+'TCO TO BE - HW'!J$4)/($E$4+'TCO TO BE - HW'!$E$4)*SUM(POZICIE_INTERNE!$I$53:$I$64))/POZICIE_INTERNE!$B$53)),0)+IFERROR(IF((EXTERNE_POZICIE!$B$53-12*('TCO TO BE- SW'!$D154-1))&gt;12,((J$4+'TCO TO BE - HW'!J$4)/($E$4+'TCO TO BE - HW'!$E$4)*SUM(EXTERNE_POZICIE!$M$53:$M$64)*1.23)/EXTERNE_POZICIE!$B$41*12,IF((EXTERNE_POZICIE!$B$53-12*('TCO TO BE- SW'!$D154-1))&lt;0,0,(EXTERNE_POZICIE!$B$53-12*('TCO TO BE- SW'!$D154-1))*((J$4+'TCO TO BE - HW'!J$4)/($E$4+'TCO TO BE - HW'!$E$4)*SUM(EXTERNE_POZICIE!$M$53:$M$64)*1.23)/EXTERNE_POZICIE!$B$53)),0)+IFERROR(SUM(#REF!)*'TCO TO BE- SW'!J$4/'TCO TO BE- SW'!$E$4,0)</f>
        <v>0</v>
      </c>
      <c r="K164" s="574">
        <f>IFERROR(IF((POZICIE_INTERNE!$B$53-12*('TCO TO BE- SW'!$D154-1))&gt;12,((K$4+'TCO TO BE - HW'!K$4)/($E$4+'TCO TO BE - HW'!$E$4)*SUM(POZICIE_INTERNE!$I$53:$I$64))/POZICIE_INTERNE!$B$53*12,IF((POZICIE_INTERNE!$B$53-12*('TCO TO BE- SW'!$D154-1))&lt;0,0,(POZICIE_INTERNE!$B$53-12*('TCO TO BE- SW'!$D154-1))*((K$4+'TCO TO BE - HW'!K$4)/($E$4+'TCO TO BE - HW'!$E$4)*SUM(POZICIE_INTERNE!$I$53:$I$64))/POZICIE_INTERNE!$B$53)),0)+IFERROR(IF((EXTERNE_POZICIE!$B$53-12*('TCO TO BE- SW'!$D154-1))&gt;12,((K$4+'TCO TO BE - HW'!K$4)/($E$4+'TCO TO BE - HW'!$E$4)*SUM(EXTERNE_POZICIE!$M$53:$M$64)*1.23)/EXTERNE_POZICIE!$B$41*12,IF((EXTERNE_POZICIE!$B$53-12*('TCO TO BE- SW'!$D154-1))&lt;0,0,(EXTERNE_POZICIE!$B$53-12*('TCO TO BE- SW'!$D154-1))*((K$4+'TCO TO BE - HW'!K$4)/($E$4+'TCO TO BE - HW'!$E$4)*SUM(EXTERNE_POZICIE!$M$53:$M$64)*1.23)/EXTERNE_POZICIE!$B$53)),0)+IFERROR(SUM(#REF!)*'TCO TO BE- SW'!K$4/'TCO TO BE- SW'!$E$4,0)</f>
        <v>0</v>
      </c>
      <c r="L164" s="574">
        <f>IFERROR(IF((POZICIE_INTERNE!$B$53-12*('TCO TO BE- SW'!$D154-1))&gt;12,((L$4+'TCO TO BE - HW'!L$4)/($E$4+'TCO TO BE - HW'!$E$4)*SUM(POZICIE_INTERNE!$I$53:$I$64))/POZICIE_INTERNE!$B$53*12,IF((POZICIE_INTERNE!$B$53-12*('TCO TO BE- SW'!$D154-1))&lt;0,0,(POZICIE_INTERNE!$B$53-12*('TCO TO BE- SW'!$D154-1))*((L$4+'TCO TO BE - HW'!L$4)/($E$4+'TCO TO BE - HW'!$E$4)*SUM(POZICIE_INTERNE!$I$53:$I$64))/POZICIE_INTERNE!$B$53)),0)+IFERROR(IF((EXTERNE_POZICIE!$B$53-12*('TCO TO BE- SW'!$D154-1))&gt;12,((L$4+'TCO TO BE - HW'!L$4)/($E$4+'TCO TO BE - HW'!$E$4)*SUM(EXTERNE_POZICIE!$M$53:$M$64)*1.23)/EXTERNE_POZICIE!$B$41*12,IF((EXTERNE_POZICIE!$B$53-12*('TCO TO BE- SW'!$D154-1))&lt;0,0,(EXTERNE_POZICIE!$B$53-12*('TCO TO BE- SW'!$D154-1))*((L$4+'TCO TO BE - HW'!L$4)/($E$4+'TCO TO BE - HW'!$E$4)*SUM(EXTERNE_POZICIE!$M$53:$M$64)*1.23)/EXTERNE_POZICIE!$B$53)),0)+IFERROR(SUM(#REF!)*'TCO TO BE- SW'!L$4/'TCO TO BE- SW'!$E$4,0)</f>
        <v>0</v>
      </c>
      <c r="M164" s="574">
        <f>IFERROR(IF((POZICIE_INTERNE!$B$53-12*('TCO TO BE- SW'!$D154-1))&gt;12,((M$4+'TCO TO BE - HW'!M$4)/($E$4+'TCO TO BE - HW'!$E$4)*SUM(POZICIE_INTERNE!$I$53:$I$64))/POZICIE_INTERNE!$B$53*12,IF((POZICIE_INTERNE!$B$53-12*('TCO TO BE- SW'!$D154-1))&lt;0,0,(POZICIE_INTERNE!$B$53-12*('TCO TO BE- SW'!$D154-1))*((M$4+'TCO TO BE - HW'!M$4)/($E$4+'TCO TO BE - HW'!$E$4)*SUM(POZICIE_INTERNE!$I$53:$I$64))/POZICIE_INTERNE!$B$53)),0)+IFERROR(IF((EXTERNE_POZICIE!$B$53-12*('TCO TO BE- SW'!$D154-1))&gt;12,((M$4+'TCO TO BE - HW'!M$4)/($E$4+'TCO TO BE - HW'!$E$4)*SUM(EXTERNE_POZICIE!$M$53:$M$64)*1.23)/EXTERNE_POZICIE!$B$41*12,IF((EXTERNE_POZICIE!$B$53-12*('TCO TO BE- SW'!$D154-1))&lt;0,0,(EXTERNE_POZICIE!$B$53-12*('TCO TO BE- SW'!$D154-1))*((M$4+'TCO TO BE - HW'!M$4)/($E$4+'TCO TO BE - HW'!$E$4)*SUM(EXTERNE_POZICIE!$M$53:$M$64)*1.23)/EXTERNE_POZICIE!$B$53)),0)+IFERROR(SUM(#REF!)*'TCO TO BE- SW'!M$4/'TCO TO BE- SW'!$E$4,0)</f>
        <v>0</v>
      </c>
      <c r="N164" s="574">
        <f>IFERROR(IF((POZICIE_INTERNE!$B$53-12*('TCO TO BE- SW'!$D154-1))&gt;12,((N$4+'TCO TO BE - HW'!N$4)/($E$4+'TCO TO BE - HW'!$E$4)*SUM(POZICIE_INTERNE!$I$53:$I$64))/POZICIE_INTERNE!$B$53*12,IF((POZICIE_INTERNE!$B$53-12*('TCO TO BE- SW'!$D154-1))&lt;0,0,(POZICIE_INTERNE!$B$53-12*('TCO TO BE- SW'!$D154-1))*((N$4+'TCO TO BE - HW'!N$4)/($E$4+'TCO TO BE - HW'!$E$4)*SUM(POZICIE_INTERNE!$I$53:$I$64))/POZICIE_INTERNE!$B$53)),0)+IFERROR(IF((EXTERNE_POZICIE!$B$53-12*('TCO TO BE- SW'!$D154-1))&gt;12,((N$4+'TCO TO BE - HW'!N$4)/($E$4+'TCO TO BE - HW'!$E$4)*SUM(EXTERNE_POZICIE!$M$53:$M$64)*1.23)/EXTERNE_POZICIE!$B$41*12,IF((EXTERNE_POZICIE!$B$53-12*('TCO TO BE- SW'!$D154-1))&lt;0,0,(EXTERNE_POZICIE!$B$53-12*('TCO TO BE- SW'!$D154-1))*((N$4+'TCO TO BE - HW'!N$4)/($E$4+'TCO TO BE - HW'!$E$4)*SUM(EXTERNE_POZICIE!$M$53:$M$64)*1.23)/EXTERNE_POZICIE!$B$53)),0)+IFERROR(SUM(#REF!)*'TCO TO BE- SW'!N$4/'TCO TO BE- SW'!$E$4,0)</f>
        <v>0</v>
      </c>
      <c r="O164" s="574">
        <f>IFERROR(IF((POZICIE_INTERNE!$B$53-12*('TCO TO BE- SW'!$D154-1))&gt;12,((O$4+'TCO TO BE - HW'!O$4)/($E$4+'TCO TO BE - HW'!$E$4)*SUM(POZICIE_INTERNE!$I$53:$I$64))/POZICIE_INTERNE!$B$53*12,IF((POZICIE_INTERNE!$B$53-12*('TCO TO BE- SW'!$D154-1))&lt;0,0,(POZICIE_INTERNE!$B$53-12*('TCO TO BE- SW'!$D154-1))*((O$4+'TCO TO BE - HW'!O$4)/($E$4+'TCO TO BE - HW'!$E$4)*SUM(POZICIE_INTERNE!$I$53:$I$64))/POZICIE_INTERNE!$B$53)),0)+IFERROR(IF((EXTERNE_POZICIE!$B$53-12*('TCO TO BE- SW'!$D154-1))&gt;12,((O$4+'TCO TO BE - HW'!O$4)/($E$4+'TCO TO BE - HW'!$E$4)*SUM(EXTERNE_POZICIE!$M$53:$M$64)*1.23)/EXTERNE_POZICIE!$B$41*12,IF((EXTERNE_POZICIE!$B$53-12*('TCO TO BE- SW'!$D154-1))&lt;0,0,(EXTERNE_POZICIE!$B$53-12*('TCO TO BE- SW'!$D154-1))*((O$4+'TCO TO BE - HW'!O$4)/($E$4+'TCO TO BE - HW'!$E$4)*SUM(EXTERNE_POZICIE!$M$53:$M$64)*1.23)/EXTERNE_POZICIE!$B$53)),0)+IFERROR(SUM(#REF!)*'TCO TO BE- SW'!O$4/'TCO TO BE- SW'!$E$4,0)</f>
        <v>0</v>
      </c>
      <c r="P164" s="574">
        <f>IFERROR(IF((POZICIE_INTERNE!$B$53-12*('TCO TO BE- SW'!$D154-1))&gt;12,((P$4+'TCO TO BE - HW'!P$4)/($E$4+'TCO TO BE - HW'!$E$4)*SUM(POZICIE_INTERNE!$I$53:$I$64))/POZICIE_INTERNE!$B$53*12,IF((POZICIE_INTERNE!$B$53-12*('TCO TO BE- SW'!$D154-1))&lt;0,0,(POZICIE_INTERNE!$B$53-12*('TCO TO BE- SW'!$D154-1))*((P$4+'TCO TO BE - HW'!P$4)/($E$4+'TCO TO BE - HW'!$E$4)*SUM(POZICIE_INTERNE!$I$53:$I$64))/POZICIE_INTERNE!$B$53)),0)+IFERROR(IF((EXTERNE_POZICIE!$B$53-12*('TCO TO BE- SW'!$D154-1))&gt;12,((P$4+'TCO TO BE - HW'!P$4)/($E$4+'TCO TO BE - HW'!$E$4)*SUM(EXTERNE_POZICIE!$M$53:$M$64)*1.23)/EXTERNE_POZICIE!$B$41*12,IF((EXTERNE_POZICIE!$B$53-12*('TCO TO BE- SW'!$D154-1))&lt;0,0,(EXTERNE_POZICIE!$B$53-12*('TCO TO BE- SW'!$D154-1))*((P$4+'TCO TO BE - HW'!P$4)/($E$4+'TCO TO BE - HW'!$E$4)*SUM(EXTERNE_POZICIE!$M$53:$M$64)*1.23)/EXTERNE_POZICIE!$B$53)),0)+IFERROR(SUM(#REF!)*'TCO TO BE- SW'!P$4/'TCO TO BE- SW'!$E$4,0)</f>
        <v>0</v>
      </c>
      <c r="Q164" s="574">
        <f>IFERROR(IF((POZICIE_INTERNE!$B$53-12*('TCO TO BE- SW'!$D154-1))&gt;12,((Q$4+'TCO TO BE - HW'!Q$4)/($E$4+'TCO TO BE - HW'!$E$4)*SUM(POZICIE_INTERNE!$I$53:$I$64))/POZICIE_INTERNE!$B$53*12,IF((POZICIE_INTERNE!$B$53-12*('TCO TO BE- SW'!$D154-1))&lt;0,0,(POZICIE_INTERNE!$B$53-12*('TCO TO BE- SW'!$D154-1))*((Q$4+'TCO TO BE - HW'!Q$4)/($E$4+'TCO TO BE - HW'!$E$4)*SUM(POZICIE_INTERNE!$I$53:$I$64))/POZICIE_INTERNE!$B$53)),0)+IFERROR(IF((EXTERNE_POZICIE!$B$53-12*('TCO TO BE- SW'!$D154-1))&gt;12,((Q$4+'TCO TO BE - HW'!Q$4)/($E$4+'TCO TO BE - HW'!$E$4)*SUM(EXTERNE_POZICIE!$M$53:$M$64)*1.23)/EXTERNE_POZICIE!$B$41*12,IF((EXTERNE_POZICIE!$B$53-12*('TCO TO BE- SW'!$D154-1))&lt;0,0,(EXTERNE_POZICIE!$B$53-12*('TCO TO BE- SW'!$D154-1))*((Q$4+'TCO TO BE - HW'!Q$4)/($E$4+'TCO TO BE - HW'!$E$4)*SUM(EXTERNE_POZICIE!$M$53:$M$64)*1.23)/EXTERNE_POZICIE!$B$53)),0)+IFERROR(SUM(#REF!)*'TCO TO BE- SW'!Q$4/'TCO TO BE- SW'!$E$4,0)</f>
        <v>0</v>
      </c>
      <c r="R164" s="574">
        <f>IFERROR(IF((POZICIE_INTERNE!$B$53-12*('TCO TO BE- SW'!$D154-1))&gt;12,((R$4+'TCO TO BE - HW'!R$4)/($E$4+'TCO TO BE - HW'!$E$4)*SUM(POZICIE_INTERNE!$I$53:$I$64))/POZICIE_INTERNE!$B$53*12,IF((POZICIE_INTERNE!$B$53-12*('TCO TO BE- SW'!$D154-1))&lt;0,0,(POZICIE_INTERNE!$B$53-12*('TCO TO BE- SW'!$D154-1))*((R$4+'TCO TO BE - HW'!R$4)/($E$4+'TCO TO BE - HW'!$E$4)*SUM(POZICIE_INTERNE!$I$53:$I$64))/POZICIE_INTERNE!$B$53)),0)+IFERROR(IF((EXTERNE_POZICIE!$B$53-12*('TCO TO BE- SW'!$D154-1))&gt;12,((R$4+'TCO TO BE - HW'!R$4)/($E$4+'TCO TO BE - HW'!$E$4)*SUM(EXTERNE_POZICIE!$M$53:$M$64)*1.23)/EXTERNE_POZICIE!$B$41*12,IF((EXTERNE_POZICIE!$B$53-12*('TCO TO BE- SW'!$D154-1))&lt;0,0,(EXTERNE_POZICIE!$B$53-12*('TCO TO BE- SW'!$D154-1))*((R$4+'TCO TO BE - HW'!R$4)/($E$4+'TCO TO BE - HW'!$E$4)*SUM(EXTERNE_POZICIE!$M$53:$M$64)*1.23)/EXTERNE_POZICIE!$B$53)),0)+IFERROR(SUM(#REF!)*'TCO TO BE- SW'!R$4/'TCO TO BE- SW'!$E$4,0)</f>
        <v>0</v>
      </c>
      <c r="S164" s="574">
        <f>IFERROR(IF((POZICIE_INTERNE!$B$53-12*('TCO TO BE- SW'!$D154-1))&gt;12,((S$4+'TCO TO BE - HW'!S$4)/($E$4+'TCO TO BE - HW'!$E$4)*SUM(POZICIE_INTERNE!$I$53:$I$64))/POZICIE_INTERNE!$B$53*12,IF((POZICIE_INTERNE!$B$53-12*('TCO TO BE- SW'!$D154-1))&lt;0,0,(POZICIE_INTERNE!$B$53-12*('TCO TO BE- SW'!$D154-1))*((S$4+'TCO TO BE - HW'!S$4)/($E$4+'TCO TO BE - HW'!$E$4)*SUM(POZICIE_INTERNE!$I$53:$I$64))/POZICIE_INTERNE!$B$53)),0)+IFERROR(IF((EXTERNE_POZICIE!$B$53-12*('TCO TO BE- SW'!$D154-1))&gt;12,((S$4+'TCO TO BE - HW'!S$4)/($E$4+'TCO TO BE - HW'!$E$4)*SUM(EXTERNE_POZICIE!$M$53:$M$64)*1.23)/EXTERNE_POZICIE!$B$41*12,IF((EXTERNE_POZICIE!$B$53-12*('TCO TO BE- SW'!$D154-1))&lt;0,0,(EXTERNE_POZICIE!$B$53-12*('TCO TO BE- SW'!$D154-1))*((S$4+'TCO TO BE - HW'!S$4)/($E$4+'TCO TO BE - HW'!$E$4)*SUM(EXTERNE_POZICIE!$M$53:$M$64)*1.23)/EXTERNE_POZICIE!$B$53)),0)+IFERROR(SUM(#REF!)*'TCO TO BE- SW'!S$4/'TCO TO BE- SW'!$E$4,0)</f>
        <v>0</v>
      </c>
      <c r="T164" s="574">
        <f>IFERROR(IF((POZICIE_INTERNE!$B$53-12*('TCO TO BE- SW'!$D154-1))&gt;12,((T$4+'TCO TO BE - HW'!T$4)/($E$4+'TCO TO BE - HW'!$E$4)*SUM(POZICIE_INTERNE!$I$53:$I$64))/POZICIE_INTERNE!$B$53*12,IF((POZICIE_INTERNE!$B$53-12*('TCO TO BE- SW'!$D154-1))&lt;0,0,(POZICIE_INTERNE!$B$53-12*('TCO TO BE- SW'!$D154-1))*((T$4+'TCO TO BE - HW'!T$4)/($E$4+'TCO TO BE - HW'!$E$4)*SUM(POZICIE_INTERNE!$I$53:$I$64))/POZICIE_INTERNE!$B$53)),0)+IFERROR(IF((EXTERNE_POZICIE!$B$53-12*('TCO TO BE- SW'!$D154-1))&gt;12,((T$4+'TCO TO BE - HW'!T$4)/($E$4+'TCO TO BE - HW'!$E$4)*SUM(EXTERNE_POZICIE!$M$53:$M$64)*1.23)/EXTERNE_POZICIE!$B$41*12,IF((EXTERNE_POZICIE!$B$53-12*('TCO TO BE- SW'!$D154-1))&lt;0,0,(EXTERNE_POZICIE!$B$53-12*('TCO TO BE- SW'!$D154-1))*((T$4+'TCO TO BE - HW'!T$4)/($E$4+'TCO TO BE - HW'!$E$4)*SUM(EXTERNE_POZICIE!$M$53:$M$64)*1.23)/EXTERNE_POZICIE!$B$53)),0)+IFERROR(SUM(#REF!)*'TCO TO BE- SW'!T$4/'TCO TO BE- SW'!$E$4,0)</f>
        <v>0</v>
      </c>
      <c r="U164" s="574">
        <f>IFERROR(IF((POZICIE_INTERNE!$B$53-12*('TCO TO BE- SW'!$D154-1))&gt;12,((U$4+'TCO TO BE - HW'!U$4)/($E$4+'TCO TO BE - HW'!$E$4)*SUM(POZICIE_INTERNE!$I$53:$I$64))/POZICIE_INTERNE!$B$53*12,IF((POZICIE_INTERNE!$B$53-12*('TCO TO BE- SW'!$D154-1))&lt;0,0,(POZICIE_INTERNE!$B$53-12*('TCO TO BE- SW'!$D154-1))*((U$4+'TCO TO BE - HW'!U$4)/($E$4+'TCO TO BE - HW'!$E$4)*SUM(POZICIE_INTERNE!$I$53:$I$64))/POZICIE_INTERNE!$B$53)),0)+IFERROR(IF((EXTERNE_POZICIE!$B$53-12*('TCO TO BE- SW'!$D154-1))&gt;12,((U$4+'TCO TO BE - HW'!U$4)/($E$4+'TCO TO BE - HW'!$E$4)*SUM(EXTERNE_POZICIE!$M$53:$M$64)*1.23)/EXTERNE_POZICIE!$B$41*12,IF((EXTERNE_POZICIE!$B$53-12*('TCO TO BE- SW'!$D154-1))&lt;0,0,(EXTERNE_POZICIE!$B$53-12*('TCO TO BE- SW'!$D154-1))*((U$4+'TCO TO BE - HW'!U$4)/($E$4+'TCO TO BE - HW'!$E$4)*SUM(EXTERNE_POZICIE!$M$53:$M$64)*1.23)/EXTERNE_POZICIE!$B$53)),0)+IFERROR(SUM(#REF!)*'TCO TO BE- SW'!U$4/'TCO TO BE- SW'!$E$4,0)</f>
        <v>0</v>
      </c>
      <c r="V164" s="574">
        <f>IFERROR(IF((POZICIE_INTERNE!$B$53-12*('TCO TO BE- SW'!$D154-1))&gt;12,((V$4+'TCO TO BE - HW'!V$4)/($E$4+'TCO TO BE - HW'!$E$4)*SUM(POZICIE_INTERNE!$I$53:$I$64))/POZICIE_INTERNE!$B$53*12,IF((POZICIE_INTERNE!$B$53-12*('TCO TO BE- SW'!$D154-1))&lt;0,0,(POZICIE_INTERNE!$B$53-12*('TCO TO BE- SW'!$D154-1))*((V$4+'TCO TO BE - HW'!V$4)/($E$4+'TCO TO BE - HW'!$E$4)*SUM(POZICIE_INTERNE!$I$53:$I$64))/POZICIE_INTERNE!$B$53)),0)+IFERROR(IF((EXTERNE_POZICIE!$B$53-12*('TCO TO BE- SW'!$D154-1))&gt;12,((V$4+'TCO TO BE - HW'!V$4)/($E$4+'TCO TO BE - HW'!$E$4)*SUM(EXTERNE_POZICIE!$M$53:$M$64)*1.23)/EXTERNE_POZICIE!$B$41*12,IF((EXTERNE_POZICIE!$B$53-12*('TCO TO BE- SW'!$D154-1))&lt;0,0,(EXTERNE_POZICIE!$B$53-12*('TCO TO BE- SW'!$D154-1))*((V$4+'TCO TO BE - HW'!V$4)/($E$4+'TCO TO BE - HW'!$E$4)*SUM(EXTERNE_POZICIE!$M$53:$M$64)*1.23)/EXTERNE_POZICIE!$B$53)),0)+IFERROR(SUM(#REF!)*'TCO TO BE- SW'!V$4/'TCO TO BE- SW'!$E$4,0)</f>
        <v>0</v>
      </c>
      <c r="W164" s="574">
        <f>IFERROR(IF((POZICIE_INTERNE!$B$53-12*('TCO TO BE- SW'!$D154-1))&gt;12,((W$4+'TCO TO BE - HW'!W$4)/($E$4+'TCO TO BE - HW'!$E$4)*SUM(POZICIE_INTERNE!$I$53:$I$64))/POZICIE_INTERNE!$B$53*12,IF((POZICIE_INTERNE!$B$53-12*('TCO TO BE- SW'!$D154-1))&lt;0,0,(POZICIE_INTERNE!$B$53-12*('TCO TO BE- SW'!$D154-1))*((W$4+'TCO TO BE - HW'!W$4)/($E$4+'TCO TO BE - HW'!$E$4)*SUM(POZICIE_INTERNE!$I$53:$I$64))/POZICIE_INTERNE!$B$53)),0)+IFERROR(IF((EXTERNE_POZICIE!$B$53-12*('TCO TO BE- SW'!$D154-1))&gt;12,((W$4+'TCO TO BE - HW'!W$4)/($E$4+'TCO TO BE - HW'!$E$4)*SUM(EXTERNE_POZICIE!$M$53:$M$64)*1.23)/EXTERNE_POZICIE!$B$41*12,IF((EXTERNE_POZICIE!$B$53-12*('TCO TO BE- SW'!$D154-1))&lt;0,0,(EXTERNE_POZICIE!$B$53-12*('TCO TO BE- SW'!$D154-1))*((W$4+'TCO TO BE - HW'!W$4)/($E$4+'TCO TO BE - HW'!$E$4)*SUM(EXTERNE_POZICIE!$M$53:$M$64)*1.23)/EXTERNE_POZICIE!$B$53)),0)+IFERROR(SUM(#REF!)*'TCO TO BE- SW'!W$4/'TCO TO BE- SW'!$E$4,0)</f>
        <v>0</v>
      </c>
      <c r="X164" s="574">
        <f>IFERROR(IF((POZICIE_INTERNE!$B$53-12*('TCO TO BE- SW'!$D154-1))&gt;12,((X$4+'TCO TO BE - HW'!X$4)/($E$4+'TCO TO BE - HW'!$E$4)*SUM(POZICIE_INTERNE!$I$53:$I$64))/POZICIE_INTERNE!$B$53*12,IF((POZICIE_INTERNE!$B$53-12*('TCO TO BE- SW'!$D154-1))&lt;0,0,(POZICIE_INTERNE!$B$53-12*('TCO TO BE- SW'!$D154-1))*((X$4+'TCO TO BE - HW'!X$4)/($E$4+'TCO TO BE - HW'!$E$4)*SUM(POZICIE_INTERNE!$I$53:$I$64))/POZICIE_INTERNE!$B$53)),0)+IFERROR(IF((EXTERNE_POZICIE!$B$53-12*('TCO TO BE- SW'!$D154-1))&gt;12,((X$4+'TCO TO BE - HW'!X$4)/($E$4+'TCO TO BE - HW'!$E$4)*SUM(EXTERNE_POZICIE!$M$53:$M$64)*1.23)/EXTERNE_POZICIE!$B$41*12,IF((EXTERNE_POZICIE!$B$53-12*('TCO TO BE- SW'!$D154-1))&lt;0,0,(EXTERNE_POZICIE!$B$53-12*('TCO TO BE- SW'!$D154-1))*((X$4+'TCO TO BE - HW'!X$4)/($E$4+'TCO TO BE - HW'!$E$4)*SUM(EXTERNE_POZICIE!$M$53:$M$64)*1.23)/EXTERNE_POZICIE!$B$53)),0)+IFERROR(SUM(#REF!)*'TCO TO BE- SW'!X$4/'TCO TO BE- SW'!$E$4,0)</f>
        <v>0</v>
      </c>
      <c r="Y164" s="574">
        <f>IFERROR(IF((POZICIE_INTERNE!$B$53-12*('TCO TO BE- SW'!$D154-1))&gt;12,((Y$4+'TCO TO BE - HW'!Y$4)/($E$4+'TCO TO BE - HW'!$E$4)*SUM(POZICIE_INTERNE!$I$53:$I$64))/POZICIE_INTERNE!$B$53*12,IF((POZICIE_INTERNE!$B$53-12*('TCO TO BE- SW'!$D154-1))&lt;0,0,(POZICIE_INTERNE!$B$53-12*('TCO TO BE- SW'!$D154-1))*((Y$4+'TCO TO BE - HW'!Y$4)/($E$4+'TCO TO BE - HW'!$E$4)*SUM(POZICIE_INTERNE!$I$53:$I$64))/POZICIE_INTERNE!$B$53)),0)+IFERROR(IF((EXTERNE_POZICIE!$B$53-12*('TCO TO BE- SW'!$D154-1))&gt;12,((Y$4+'TCO TO BE - HW'!Y$4)/($E$4+'TCO TO BE - HW'!$E$4)*SUM(EXTERNE_POZICIE!$M$53:$M$64)*1.23)/EXTERNE_POZICIE!$B$41*12,IF((EXTERNE_POZICIE!$B$53-12*('TCO TO BE- SW'!$D154-1))&lt;0,0,(EXTERNE_POZICIE!$B$53-12*('TCO TO BE- SW'!$D154-1))*((Y$4+'TCO TO BE - HW'!Y$4)/($E$4+'TCO TO BE - HW'!$E$4)*SUM(EXTERNE_POZICIE!$M$53:$M$64)*1.23)/EXTERNE_POZICIE!$B$53)),0)+IFERROR(SUM(#REF!)*'TCO TO BE- SW'!Y$4/'TCO TO BE- SW'!$E$4,0)</f>
        <v>0</v>
      </c>
      <c r="Z164" s="574">
        <f>IFERROR(IF((POZICIE_INTERNE!$B$53-12*('TCO TO BE- SW'!$D154-1))&gt;12,((Z$4+'TCO TO BE - HW'!Z$4)/($E$4+'TCO TO BE - HW'!$E$4)*SUM(POZICIE_INTERNE!$I$53:$I$64))/POZICIE_INTERNE!$B$53*12,IF((POZICIE_INTERNE!$B$53-12*('TCO TO BE- SW'!$D154-1))&lt;0,0,(POZICIE_INTERNE!$B$53-12*('TCO TO BE- SW'!$D154-1))*((Z$4+'TCO TO BE - HW'!Z$4)/($E$4+'TCO TO BE - HW'!$E$4)*SUM(POZICIE_INTERNE!$I$53:$I$64))/POZICIE_INTERNE!$B$53)),0)+IFERROR(IF((EXTERNE_POZICIE!$B$53-12*('TCO TO BE- SW'!$D154-1))&gt;12,((Z$4+'TCO TO BE - HW'!Z$4)/($E$4+'TCO TO BE - HW'!$E$4)*SUM(EXTERNE_POZICIE!$M$53:$M$64)*1.23)/EXTERNE_POZICIE!$B$41*12,IF((EXTERNE_POZICIE!$B$53-12*('TCO TO BE- SW'!$D154-1))&lt;0,0,(EXTERNE_POZICIE!$B$53-12*('TCO TO BE- SW'!$D154-1))*((Z$4+'TCO TO BE - HW'!Z$4)/($E$4+'TCO TO BE - HW'!$E$4)*SUM(EXTERNE_POZICIE!$M$53:$M$64)*1.23)/EXTERNE_POZICIE!$B$53)),0)+IFERROR(SUM(#REF!)*'TCO TO BE- SW'!Z$4/'TCO TO BE- SW'!$E$4,0)</f>
        <v>0</v>
      </c>
    </row>
    <row r="165" spans="1:26">
      <c r="A165" s="817"/>
      <c r="B165" s="818"/>
      <c r="C165" s="818"/>
      <c r="D165" s="64">
        <v>5</v>
      </c>
      <c r="E165" s="68">
        <f t="shared" si="16"/>
        <v>0</v>
      </c>
      <c r="F165" s="574">
        <f>IFERROR(IF((POZICIE_INTERNE!$B$53-12*('TCO TO BE- SW'!$D155-1))&gt;12,((F$4+'TCO TO BE - HW'!F$4)/($E$4+'TCO TO BE - HW'!$E$4)*SUM(POZICIE_INTERNE!$I$53:$I$64))/POZICIE_INTERNE!$B$53*12,IF((POZICIE_INTERNE!$B$53-12*('TCO TO BE- SW'!$D155-1))&lt;0,0,(POZICIE_INTERNE!$B$53-12*('TCO TO BE- SW'!$D155-1))*((F$4+'TCO TO BE - HW'!F$4)/($E$4+'TCO TO BE - HW'!$E$4)*SUM(POZICIE_INTERNE!$I$53:$I$64))/POZICIE_INTERNE!$B$53)),0)+IFERROR(IF((EXTERNE_POZICIE!$B$53-12*('TCO TO BE- SW'!$D155-1))&gt;12,((F$4+'TCO TO BE - HW'!F$4)/($E$4+'TCO TO BE - HW'!$E$4)*SUM(EXTERNE_POZICIE!$M$53:$M$64)*1.23)/EXTERNE_POZICIE!$B$41*12,IF((EXTERNE_POZICIE!$B$53-12*('TCO TO BE- SW'!$D155-1))&lt;0,0,(EXTERNE_POZICIE!$B$53-12*('TCO TO BE- SW'!$D155-1))*((F$4+'TCO TO BE - HW'!F$4)/($E$4+'TCO TO BE - HW'!$E$4)*SUM(EXTERNE_POZICIE!$M$53:$M$64)*1.23)/EXTERNE_POZICIE!$B$53)),0)+IFERROR(SUM(#REF!)*'TCO TO BE- SW'!F$4/'TCO TO BE- SW'!$E$4,0)</f>
        <v>0</v>
      </c>
      <c r="G165" s="574">
        <f>IFERROR(IF((POZICIE_INTERNE!$B$53-12*('TCO TO BE- SW'!$D155-1))&gt;12,((G$4+'TCO TO BE - HW'!G$4)/($E$4+'TCO TO BE - HW'!$E$4)*SUM(POZICIE_INTERNE!$I$53:$I$64))/POZICIE_INTERNE!$B$53*12,IF((POZICIE_INTERNE!$B$53-12*('TCO TO BE- SW'!$D155-1))&lt;0,0,(POZICIE_INTERNE!$B$53-12*('TCO TO BE- SW'!$D155-1))*((G$4+'TCO TO BE - HW'!G$4)/($E$4+'TCO TO BE - HW'!$E$4)*SUM(POZICIE_INTERNE!$I$53:$I$64))/POZICIE_INTERNE!$B$53)),0)+IFERROR(IF((EXTERNE_POZICIE!$B$53-12*('TCO TO BE- SW'!$D155-1))&gt;12,((G$4+'TCO TO BE - HW'!G$4)/($E$4+'TCO TO BE - HW'!$E$4)*SUM(EXTERNE_POZICIE!$M$53:$M$64)*1.23)/EXTERNE_POZICIE!$B$41*12,IF((EXTERNE_POZICIE!$B$53-12*('TCO TO BE- SW'!$D155-1))&lt;0,0,(EXTERNE_POZICIE!$B$53-12*('TCO TO BE- SW'!$D155-1))*((G$4+'TCO TO BE - HW'!G$4)/($E$4+'TCO TO BE - HW'!$E$4)*SUM(EXTERNE_POZICIE!$M$53:$M$64)*1.23)/EXTERNE_POZICIE!$B$53)),0)+IFERROR(SUM(#REF!)*'TCO TO BE- SW'!G$4/'TCO TO BE- SW'!$E$4,0)</f>
        <v>0</v>
      </c>
      <c r="H165" s="574">
        <f>IFERROR(IF((POZICIE_INTERNE!$B$53-12*('TCO TO BE- SW'!$D155-1))&gt;12,((H$4+'TCO TO BE - HW'!H$4)/($E$4+'TCO TO BE - HW'!$E$4)*SUM(POZICIE_INTERNE!$I$53:$I$64))/POZICIE_INTERNE!$B$53*12,IF((POZICIE_INTERNE!$B$53-12*('TCO TO BE- SW'!$D155-1))&lt;0,0,(POZICIE_INTERNE!$B$53-12*('TCO TO BE- SW'!$D155-1))*((H$4+'TCO TO BE - HW'!H$4)/($E$4+'TCO TO BE - HW'!$E$4)*SUM(POZICIE_INTERNE!$I$53:$I$64))/POZICIE_INTERNE!$B$53)),0)+IFERROR(IF((EXTERNE_POZICIE!$B$53-12*('TCO TO BE- SW'!$D155-1))&gt;12,((H$4+'TCO TO BE - HW'!H$4)/($E$4+'TCO TO BE - HW'!$E$4)*SUM(EXTERNE_POZICIE!$M$53:$M$64)*1.23)/EXTERNE_POZICIE!$B$41*12,IF((EXTERNE_POZICIE!$B$53-12*('TCO TO BE- SW'!$D155-1))&lt;0,0,(EXTERNE_POZICIE!$B$53-12*('TCO TO BE- SW'!$D155-1))*((H$4+'TCO TO BE - HW'!H$4)/($E$4+'TCO TO BE - HW'!$E$4)*SUM(EXTERNE_POZICIE!$M$53:$M$64)*1.23)/EXTERNE_POZICIE!$B$53)),0)+IFERROR(SUM(#REF!)*'TCO TO BE- SW'!H$4/'TCO TO BE- SW'!$E$4,0)</f>
        <v>0</v>
      </c>
      <c r="I165" s="574">
        <f>IFERROR(IF((POZICIE_INTERNE!$B$53-12*('TCO TO BE- SW'!$D155-1))&gt;12,((I$4+'TCO TO BE - HW'!I$4)/($E$4+'TCO TO BE - HW'!$E$4)*SUM(POZICIE_INTERNE!$I$53:$I$64))/POZICIE_INTERNE!$B$53*12,IF((POZICIE_INTERNE!$B$53-12*('TCO TO BE- SW'!$D155-1))&lt;0,0,(POZICIE_INTERNE!$B$53-12*('TCO TO BE- SW'!$D155-1))*((I$4+'TCO TO BE - HW'!I$4)/($E$4+'TCO TO BE - HW'!$E$4)*SUM(POZICIE_INTERNE!$I$53:$I$64))/POZICIE_INTERNE!$B$53)),0)+IFERROR(IF((EXTERNE_POZICIE!$B$53-12*('TCO TO BE- SW'!$D155-1))&gt;12,((I$4+'TCO TO BE - HW'!I$4)/($E$4+'TCO TO BE - HW'!$E$4)*SUM(EXTERNE_POZICIE!$M$53:$M$64)*1.23)/EXTERNE_POZICIE!$B$41*12,IF((EXTERNE_POZICIE!$B$53-12*('TCO TO BE- SW'!$D155-1))&lt;0,0,(EXTERNE_POZICIE!$B$53-12*('TCO TO BE- SW'!$D155-1))*((I$4+'TCO TO BE - HW'!I$4)/($E$4+'TCO TO BE - HW'!$E$4)*SUM(EXTERNE_POZICIE!$M$53:$M$64)*1.23)/EXTERNE_POZICIE!$B$53)),0)+IFERROR(SUM(#REF!)*'TCO TO BE- SW'!I$4/'TCO TO BE- SW'!$E$4,0)</f>
        <v>0</v>
      </c>
      <c r="J165" s="574">
        <f>IFERROR(IF((POZICIE_INTERNE!$B$53-12*('TCO TO BE- SW'!$D155-1))&gt;12,((J$4+'TCO TO BE - HW'!J$4)/($E$4+'TCO TO BE - HW'!$E$4)*SUM(POZICIE_INTERNE!$I$53:$I$64))/POZICIE_INTERNE!$B$53*12,IF((POZICIE_INTERNE!$B$53-12*('TCO TO BE- SW'!$D155-1))&lt;0,0,(POZICIE_INTERNE!$B$53-12*('TCO TO BE- SW'!$D155-1))*((J$4+'TCO TO BE - HW'!J$4)/($E$4+'TCO TO BE - HW'!$E$4)*SUM(POZICIE_INTERNE!$I$53:$I$64))/POZICIE_INTERNE!$B$53)),0)+IFERROR(IF((EXTERNE_POZICIE!$B$53-12*('TCO TO BE- SW'!$D155-1))&gt;12,((J$4+'TCO TO BE - HW'!J$4)/($E$4+'TCO TO BE - HW'!$E$4)*SUM(EXTERNE_POZICIE!$M$53:$M$64)*1.23)/EXTERNE_POZICIE!$B$41*12,IF((EXTERNE_POZICIE!$B$53-12*('TCO TO BE- SW'!$D155-1))&lt;0,0,(EXTERNE_POZICIE!$B$53-12*('TCO TO BE- SW'!$D155-1))*((J$4+'TCO TO BE - HW'!J$4)/($E$4+'TCO TO BE - HW'!$E$4)*SUM(EXTERNE_POZICIE!$M$53:$M$64)*1.23)/EXTERNE_POZICIE!$B$53)),0)+IFERROR(SUM(#REF!)*'TCO TO BE- SW'!J$4/'TCO TO BE- SW'!$E$4,0)</f>
        <v>0</v>
      </c>
      <c r="K165" s="574">
        <f>IFERROR(IF((POZICIE_INTERNE!$B$53-12*('TCO TO BE- SW'!$D155-1))&gt;12,((K$4+'TCO TO BE - HW'!K$4)/($E$4+'TCO TO BE - HW'!$E$4)*SUM(POZICIE_INTERNE!$I$53:$I$64))/POZICIE_INTERNE!$B$53*12,IF((POZICIE_INTERNE!$B$53-12*('TCO TO BE- SW'!$D155-1))&lt;0,0,(POZICIE_INTERNE!$B$53-12*('TCO TO BE- SW'!$D155-1))*((K$4+'TCO TO BE - HW'!K$4)/($E$4+'TCO TO BE - HW'!$E$4)*SUM(POZICIE_INTERNE!$I$53:$I$64))/POZICIE_INTERNE!$B$53)),0)+IFERROR(IF((EXTERNE_POZICIE!$B$53-12*('TCO TO BE- SW'!$D155-1))&gt;12,((K$4+'TCO TO BE - HW'!K$4)/($E$4+'TCO TO BE - HW'!$E$4)*SUM(EXTERNE_POZICIE!$M$53:$M$64)*1.23)/EXTERNE_POZICIE!$B$41*12,IF((EXTERNE_POZICIE!$B$53-12*('TCO TO BE- SW'!$D155-1))&lt;0,0,(EXTERNE_POZICIE!$B$53-12*('TCO TO BE- SW'!$D155-1))*((K$4+'TCO TO BE - HW'!K$4)/($E$4+'TCO TO BE - HW'!$E$4)*SUM(EXTERNE_POZICIE!$M$53:$M$64)*1.23)/EXTERNE_POZICIE!$B$53)),0)+IFERROR(SUM(#REF!)*'TCO TO BE- SW'!K$4/'TCO TO BE- SW'!$E$4,0)</f>
        <v>0</v>
      </c>
      <c r="L165" s="574">
        <f>IFERROR(IF((POZICIE_INTERNE!$B$53-12*('TCO TO BE- SW'!$D155-1))&gt;12,((L$4+'TCO TO BE - HW'!L$4)/($E$4+'TCO TO BE - HW'!$E$4)*SUM(POZICIE_INTERNE!$I$53:$I$64))/POZICIE_INTERNE!$B$53*12,IF((POZICIE_INTERNE!$B$53-12*('TCO TO BE- SW'!$D155-1))&lt;0,0,(POZICIE_INTERNE!$B$53-12*('TCO TO BE- SW'!$D155-1))*((L$4+'TCO TO BE - HW'!L$4)/($E$4+'TCO TO BE - HW'!$E$4)*SUM(POZICIE_INTERNE!$I$53:$I$64))/POZICIE_INTERNE!$B$53)),0)+IFERROR(IF((EXTERNE_POZICIE!$B$53-12*('TCO TO BE- SW'!$D155-1))&gt;12,((L$4+'TCO TO BE - HW'!L$4)/($E$4+'TCO TO BE - HW'!$E$4)*SUM(EXTERNE_POZICIE!$M$53:$M$64)*1.23)/EXTERNE_POZICIE!$B$41*12,IF((EXTERNE_POZICIE!$B$53-12*('TCO TO BE- SW'!$D155-1))&lt;0,0,(EXTERNE_POZICIE!$B$53-12*('TCO TO BE- SW'!$D155-1))*((L$4+'TCO TO BE - HW'!L$4)/($E$4+'TCO TO BE - HW'!$E$4)*SUM(EXTERNE_POZICIE!$M$53:$M$64)*1.23)/EXTERNE_POZICIE!$B$53)),0)+IFERROR(SUM(#REF!)*'TCO TO BE- SW'!L$4/'TCO TO BE- SW'!$E$4,0)</f>
        <v>0</v>
      </c>
      <c r="M165" s="574">
        <f>IFERROR(IF((POZICIE_INTERNE!$B$53-12*('TCO TO BE- SW'!$D155-1))&gt;12,((M$4+'TCO TO BE - HW'!M$4)/($E$4+'TCO TO BE - HW'!$E$4)*SUM(POZICIE_INTERNE!$I$53:$I$64))/POZICIE_INTERNE!$B$53*12,IF((POZICIE_INTERNE!$B$53-12*('TCO TO BE- SW'!$D155-1))&lt;0,0,(POZICIE_INTERNE!$B$53-12*('TCO TO BE- SW'!$D155-1))*((M$4+'TCO TO BE - HW'!M$4)/($E$4+'TCO TO BE - HW'!$E$4)*SUM(POZICIE_INTERNE!$I$53:$I$64))/POZICIE_INTERNE!$B$53)),0)+IFERROR(IF((EXTERNE_POZICIE!$B$53-12*('TCO TO BE- SW'!$D155-1))&gt;12,((M$4+'TCO TO BE - HW'!M$4)/($E$4+'TCO TO BE - HW'!$E$4)*SUM(EXTERNE_POZICIE!$M$53:$M$64)*1.23)/EXTERNE_POZICIE!$B$41*12,IF((EXTERNE_POZICIE!$B$53-12*('TCO TO BE- SW'!$D155-1))&lt;0,0,(EXTERNE_POZICIE!$B$53-12*('TCO TO BE- SW'!$D155-1))*((M$4+'TCO TO BE - HW'!M$4)/($E$4+'TCO TO BE - HW'!$E$4)*SUM(EXTERNE_POZICIE!$M$53:$M$64)*1.23)/EXTERNE_POZICIE!$B$53)),0)+IFERROR(SUM(#REF!)*'TCO TO BE- SW'!M$4/'TCO TO BE- SW'!$E$4,0)</f>
        <v>0</v>
      </c>
      <c r="N165" s="574">
        <f>IFERROR(IF((POZICIE_INTERNE!$B$53-12*('TCO TO BE- SW'!$D155-1))&gt;12,((N$4+'TCO TO BE - HW'!N$4)/($E$4+'TCO TO BE - HW'!$E$4)*SUM(POZICIE_INTERNE!$I$53:$I$64))/POZICIE_INTERNE!$B$53*12,IF((POZICIE_INTERNE!$B$53-12*('TCO TO BE- SW'!$D155-1))&lt;0,0,(POZICIE_INTERNE!$B$53-12*('TCO TO BE- SW'!$D155-1))*((N$4+'TCO TO BE - HW'!N$4)/($E$4+'TCO TO BE - HW'!$E$4)*SUM(POZICIE_INTERNE!$I$53:$I$64))/POZICIE_INTERNE!$B$53)),0)+IFERROR(IF((EXTERNE_POZICIE!$B$53-12*('TCO TO BE- SW'!$D155-1))&gt;12,((N$4+'TCO TO BE - HW'!N$4)/($E$4+'TCO TO BE - HW'!$E$4)*SUM(EXTERNE_POZICIE!$M$53:$M$64)*1.23)/EXTERNE_POZICIE!$B$41*12,IF((EXTERNE_POZICIE!$B$53-12*('TCO TO BE- SW'!$D155-1))&lt;0,0,(EXTERNE_POZICIE!$B$53-12*('TCO TO BE- SW'!$D155-1))*((N$4+'TCO TO BE - HW'!N$4)/($E$4+'TCO TO BE - HW'!$E$4)*SUM(EXTERNE_POZICIE!$M$53:$M$64)*1.23)/EXTERNE_POZICIE!$B$53)),0)+IFERROR(SUM(#REF!)*'TCO TO BE- SW'!N$4/'TCO TO BE- SW'!$E$4,0)</f>
        <v>0</v>
      </c>
      <c r="O165" s="574">
        <f>IFERROR(IF((POZICIE_INTERNE!$B$53-12*('TCO TO BE- SW'!$D155-1))&gt;12,((O$4+'TCO TO BE - HW'!O$4)/($E$4+'TCO TO BE - HW'!$E$4)*SUM(POZICIE_INTERNE!$I$53:$I$64))/POZICIE_INTERNE!$B$53*12,IF((POZICIE_INTERNE!$B$53-12*('TCO TO BE- SW'!$D155-1))&lt;0,0,(POZICIE_INTERNE!$B$53-12*('TCO TO BE- SW'!$D155-1))*((O$4+'TCO TO BE - HW'!O$4)/($E$4+'TCO TO BE - HW'!$E$4)*SUM(POZICIE_INTERNE!$I$53:$I$64))/POZICIE_INTERNE!$B$53)),0)+IFERROR(IF((EXTERNE_POZICIE!$B$53-12*('TCO TO BE- SW'!$D155-1))&gt;12,((O$4+'TCO TO BE - HW'!O$4)/($E$4+'TCO TO BE - HW'!$E$4)*SUM(EXTERNE_POZICIE!$M$53:$M$64)*1.23)/EXTERNE_POZICIE!$B$41*12,IF((EXTERNE_POZICIE!$B$53-12*('TCO TO BE- SW'!$D155-1))&lt;0,0,(EXTERNE_POZICIE!$B$53-12*('TCO TO BE- SW'!$D155-1))*((O$4+'TCO TO BE - HW'!O$4)/($E$4+'TCO TO BE - HW'!$E$4)*SUM(EXTERNE_POZICIE!$M$53:$M$64)*1.23)/EXTERNE_POZICIE!$B$53)),0)+IFERROR(SUM(#REF!)*'TCO TO BE- SW'!O$4/'TCO TO BE- SW'!$E$4,0)</f>
        <v>0</v>
      </c>
      <c r="P165" s="574">
        <f>IFERROR(IF((POZICIE_INTERNE!$B$53-12*('TCO TO BE- SW'!$D155-1))&gt;12,((P$4+'TCO TO BE - HW'!P$4)/($E$4+'TCO TO BE - HW'!$E$4)*SUM(POZICIE_INTERNE!$I$53:$I$64))/POZICIE_INTERNE!$B$53*12,IF((POZICIE_INTERNE!$B$53-12*('TCO TO BE- SW'!$D155-1))&lt;0,0,(POZICIE_INTERNE!$B$53-12*('TCO TO BE- SW'!$D155-1))*((P$4+'TCO TO BE - HW'!P$4)/($E$4+'TCO TO BE - HW'!$E$4)*SUM(POZICIE_INTERNE!$I$53:$I$64))/POZICIE_INTERNE!$B$53)),0)+IFERROR(IF((EXTERNE_POZICIE!$B$53-12*('TCO TO BE- SW'!$D155-1))&gt;12,((P$4+'TCO TO BE - HW'!P$4)/($E$4+'TCO TO BE - HW'!$E$4)*SUM(EXTERNE_POZICIE!$M$53:$M$64)*1.23)/EXTERNE_POZICIE!$B$41*12,IF((EXTERNE_POZICIE!$B$53-12*('TCO TO BE- SW'!$D155-1))&lt;0,0,(EXTERNE_POZICIE!$B$53-12*('TCO TO BE- SW'!$D155-1))*((P$4+'TCO TO BE - HW'!P$4)/($E$4+'TCO TO BE - HW'!$E$4)*SUM(EXTERNE_POZICIE!$M$53:$M$64)*1.23)/EXTERNE_POZICIE!$B$53)),0)+IFERROR(SUM(#REF!)*'TCO TO BE- SW'!P$4/'TCO TO BE- SW'!$E$4,0)</f>
        <v>0</v>
      </c>
      <c r="Q165" s="574">
        <f>IFERROR(IF((POZICIE_INTERNE!$B$53-12*('TCO TO BE- SW'!$D155-1))&gt;12,((Q$4+'TCO TO BE - HW'!Q$4)/($E$4+'TCO TO BE - HW'!$E$4)*SUM(POZICIE_INTERNE!$I$53:$I$64))/POZICIE_INTERNE!$B$53*12,IF((POZICIE_INTERNE!$B$53-12*('TCO TO BE- SW'!$D155-1))&lt;0,0,(POZICIE_INTERNE!$B$53-12*('TCO TO BE- SW'!$D155-1))*((Q$4+'TCO TO BE - HW'!Q$4)/($E$4+'TCO TO BE - HW'!$E$4)*SUM(POZICIE_INTERNE!$I$53:$I$64))/POZICIE_INTERNE!$B$53)),0)+IFERROR(IF((EXTERNE_POZICIE!$B$53-12*('TCO TO BE- SW'!$D155-1))&gt;12,((Q$4+'TCO TO BE - HW'!Q$4)/($E$4+'TCO TO BE - HW'!$E$4)*SUM(EXTERNE_POZICIE!$M$53:$M$64)*1.23)/EXTERNE_POZICIE!$B$41*12,IF((EXTERNE_POZICIE!$B$53-12*('TCO TO BE- SW'!$D155-1))&lt;0,0,(EXTERNE_POZICIE!$B$53-12*('TCO TO BE- SW'!$D155-1))*((Q$4+'TCO TO BE - HW'!Q$4)/($E$4+'TCO TO BE - HW'!$E$4)*SUM(EXTERNE_POZICIE!$M$53:$M$64)*1.23)/EXTERNE_POZICIE!$B$53)),0)+IFERROR(SUM(#REF!)*'TCO TO BE- SW'!Q$4/'TCO TO BE- SW'!$E$4,0)</f>
        <v>0</v>
      </c>
      <c r="R165" s="574">
        <f>IFERROR(IF((POZICIE_INTERNE!$B$53-12*('TCO TO BE- SW'!$D155-1))&gt;12,((R$4+'TCO TO BE - HW'!R$4)/($E$4+'TCO TO BE - HW'!$E$4)*SUM(POZICIE_INTERNE!$I$53:$I$64))/POZICIE_INTERNE!$B$53*12,IF((POZICIE_INTERNE!$B$53-12*('TCO TO BE- SW'!$D155-1))&lt;0,0,(POZICIE_INTERNE!$B$53-12*('TCO TO BE- SW'!$D155-1))*((R$4+'TCO TO BE - HW'!R$4)/($E$4+'TCO TO BE - HW'!$E$4)*SUM(POZICIE_INTERNE!$I$53:$I$64))/POZICIE_INTERNE!$B$53)),0)+IFERROR(IF((EXTERNE_POZICIE!$B$53-12*('TCO TO BE- SW'!$D155-1))&gt;12,((R$4+'TCO TO BE - HW'!R$4)/($E$4+'TCO TO BE - HW'!$E$4)*SUM(EXTERNE_POZICIE!$M$53:$M$64)*1.23)/EXTERNE_POZICIE!$B$41*12,IF((EXTERNE_POZICIE!$B$53-12*('TCO TO BE- SW'!$D155-1))&lt;0,0,(EXTERNE_POZICIE!$B$53-12*('TCO TO BE- SW'!$D155-1))*((R$4+'TCO TO BE - HW'!R$4)/($E$4+'TCO TO BE - HW'!$E$4)*SUM(EXTERNE_POZICIE!$M$53:$M$64)*1.23)/EXTERNE_POZICIE!$B$53)),0)+IFERROR(SUM(#REF!)*'TCO TO BE- SW'!R$4/'TCO TO BE- SW'!$E$4,0)</f>
        <v>0</v>
      </c>
      <c r="S165" s="574">
        <f>IFERROR(IF((POZICIE_INTERNE!$B$53-12*('TCO TO BE- SW'!$D155-1))&gt;12,((S$4+'TCO TO BE - HW'!S$4)/($E$4+'TCO TO BE - HW'!$E$4)*SUM(POZICIE_INTERNE!$I$53:$I$64))/POZICIE_INTERNE!$B$53*12,IF((POZICIE_INTERNE!$B$53-12*('TCO TO BE- SW'!$D155-1))&lt;0,0,(POZICIE_INTERNE!$B$53-12*('TCO TO BE- SW'!$D155-1))*((S$4+'TCO TO BE - HW'!S$4)/($E$4+'TCO TO BE - HW'!$E$4)*SUM(POZICIE_INTERNE!$I$53:$I$64))/POZICIE_INTERNE!$B$53)),0)+IFERROR(IF((EXTERNE_POZICIE!$B$53-12*('TCO TO BE- SW'!$D155-1))&gt;12,((S$4+'TCO TO BE - HW'!S$4)/($E$4+'TCO TO BE - HW'!$E$4)*SUM(EXTERNE_POZICIE!$M$53:$M$64)*1.23)/EXTERNE_POZICIE!$B$41*12,IF((EXTERNE_POZICIE!$B$53-12*('TCO TO BE- SW'!$D155-1))&lt;0,0,(EXTERNE_POZICIE!$B$53-12*('TCO TO BE- SW'!$D155-1))*((S$4+'TCO TO BE - HW'!S$4)/($E$4+'TCO TO BE - HW'!$E$4)*SUM(EXTERNE_POZICIE!$M$53:$M$64)*1.23)/EXTERNE_POZICIE!$B$53)),0)+IFERROR(SUM(#REF!)*'TCO TO BE- SW'!S$4/'TCO TO BE- SW'!$E$4,0)</f>
        <v>0</v>
      </c>
      <c r="T165" s="574">
        <f>IFERROR(IF((POZICIE_INTERNE!$B$53-12*('TCO TO BE- SW'!$D155-1))&gt;12,((T$4+'TCO TO BE - HW'!T$4)/($E$4+'TCO TO BE - HW'!$E$4)*SUM(POZICIE_INTERNE!$I$53:$I$64))/POZICIE_INTERNE!$B$53*12,IF((POZICIE_INTERNE!$B$53-12*('TCO TO BE- SW'!$D155-1))&lt;0,0,(POZICIE_INTERNE!$B$53-12*('TCO TO BE- SW'!$D155-1))*((T$4+'TCO TO BE - HW'!T$4)/($E$4+'TCO TO BE - HW'!$E$4)*SUM(POZICIE_INTERNE!$I$53:$I$64))/POZICIE_INTERNE!$B$53)),0)+IFERROR(IF((EXTERNE_POZICIE!$B$53-12*('TCO TO BE- SW'!$D155-1))&gt;12,((T$4+'TCO TO BE - HW'!T$4)/($E$4+'TCO TO BE - HW'!$E$4)*SUM(EXTERNE_POZICIE!$M$53:$M$64)*1.23)/EXTERNE_POZICIE!$B$41*12,IF((EXTERNE_POZICIE!$B$53-12*('TCO TO BE- SW'!$D155-1))&lt;0,0,(EXTERNE_POZICIE!$B$53-12*('TCO TO BE- SW'!$D155-1))*((T$4+'TCO TO BE - HW'!T$4)/($E$4+'TCO TO BE - HW'!$E$4)*SUM(EXTERNE_POZICIE!$M$53:$M$64)*1.23)/EXTERNE_POZICIE!$B$53)),0)+IFERROR(SUM(#REF!)*'TCO TO BE- SW'!T$4/'TCO TO BE- SW'!$E$4,0)</f>
        <v>0</v>
      </c>
      <c r="U165" s="574">
        <f>IFERROR(IF((POZICIE_INTERNE!$B$53-12*('TCO TO BE- SW'!$D155-1))&gt;12,((U$4+'TCO TO BE - HW'!U$4)/($E$4+'TCO TO BE - HW'!$E$4)*SUM(POZICIE_INTERNE!$I$53:$I$64))/POZICIE_INTERNE!$B$53*12,IF((POZICIE_INTERNE!$B$53-12*('TCO TO BE- SW'!$D155-1))&lt;0,0,(POZICIE_INTERNE!$B$53-12*('TCO TO BE- SW'!$D155-1))*((U$4+'TCO TO BE - HW'!U$4)/($E$4+'TCO TO BE - HW'!$E$4)*SUM(POZICIE_INTERNE!$I$53:$I$64))/POZICIE_INTERNE!$B$53)),0)+IFERROR(IF((EXTERNE_POZICIE!$B$53-12*('TCO TO BE- SW'!$D155-1))&gt;12,((U$4+'TCO TO BE - HW'!U$4)/($E$4+'TCO TO BE - HW'!$E$4)*SUM(EXTERNE_POZICIE!$M$53:$M$64)*1.23)/EXTERNE_POZICIE!$B$41*12,IF((EXTERNE_POZICIE!$B$53-12*('TCO TO BE- SW'!$D155-1))&lt;0,0,(EXTERNE_POZICIE!$B$53-12*('TCO TO BE- SW'!$D155-1))*((U$4+'TCO TO BE - HW'!U$4)/($E$4+'TCO TO BE - HW'!$E$4)*SUM(EXTERNE_POZICIE!$M$53:$M$64)*1.23)/EXTERNE_POZICIE!$B$53)),0)+IFERROR(SUM(#REF!)*'TCO TO BE- SW'!U$4/'TCO TO BE- SW'!$E$4,0)</f>
        <v>0</v>
      </c>
      <c r="V165" s="574">
        <f>IFERROR(IF((POZICIE_INTERNE!$B$53-12*('TCO TO BE- SW'!$D155-1))&gt;12,((V$4+'TCO TO BE - HW'!V$4)/($E$4+'TCO TO BE - HW'!$E$4)*SUM(POZICIE_INTERNE!$I$53:$I$64))/POZICIE_INTERNE!$B$53*12,IF((POZICIE_INTERNE!$B$53-12*('TCO TO BE- SW'!$D155-1))&lt;0,0,(POZICIE_INTERNE!$B$53-12*('TCO TO BE- SW'!$D155-1))*((V$4+'TCO TO BE - HW'!V$4)/($E$4+'TCO TO BE - HW'!$E$4)*SUM(POZICIE_INTERNE!$I$53:$I$64))/POZICIE_INTERNE!$B$53)),0)+IFERROR(IF((EXTERNE_POZICIE!$B$53-12*('TCO TO BE- SW'!$D155-1))&gt;12,((V$4+'TCO TO BE - HW'!V$4)/($E$4+'TCO TO BE - HW'!$E$4)*SUM(EXTERNE_POZICIE!$M$53:$M$64)*1.23)/EXTERNE_POZICIE!$B$41*12,IF((EXTERNE_POZICIE!$B$53-12*('TCO TO BE- SW'!$D155-1))&lt;0,0,(EXTERNE_POZICIE!$B$53-12*('TCO TO BE- SW'!$D155-1))*((V$4+'TCO TO BE - HW'!V$4)/($E$4+'TCO TO BE - HW'!$E$4)*SUM(EXTERNE_POZICIE!$M$53:$M$64)*1.23)/EXTERNE_POZICIE!$B$53)),0)+IFERROR(SUM(#REF!)*'TCO TO BE- SW'!V$4/'TCO TO BE- SW'!$E$4,0)</f>
        <v>0</v>
      </c>
      <c r="W165" s="574">
        <f>IFERROR(IF((POZICIE_INTERNE!$B$53-12*('TCO TO BE- SW'!$D155-1))&gt;12,((W$4+'TCO TO BE - HW'!W$4)/($E$4+'TCO TO BE - HW'!$E$4)*SUM(POZICIE_INTERNE!$I$53:$I$64))/POZICIE_INTERNE!$B$53*12,IF((POZICIE_INTERNE!$B$53-12*('TCO TO BE- SW'!$D155-1))&lt;0,0,(POZICIE_INTERNE!$B$53-12*('TCO TO BE- SW'!$D155-1))*((W$4+'TCO TO BE - HW'!W$4)/($E$4+'TCO TO BE - HW'!$E$4)*SUM(POZICIE_INTERNE!$I$53:$I$64))/POZICIE_INTERNE!$B$53)),0)+IFERROR(IF((EXTERNE_POZICIE!$B$53-12*('TCO TO BE- SW'!$D155-1))&gt;12,((W$4+'TCO TO BE - HW'!W$4)/($E$4+'TCO TO BE - HW'!$E$4)*SUM(EXTERNE_POZICIE!$M$53:$M$64)*1.23)/EXTERNE_POZICIE!$B$41*12,IF((EXTERNE_POZICIE!$B$53-12*('TCO TO BE- SW'!$D155-1))&lt;0,0,(EXTERNE_POZICIE!$B$53-12*('TCO TO BE- SW'!$D155-1))*((W$4+'TCO TO BE - HW'!W$4)/($E$4+'TCO TO BE - HW'!$E$4)*SUM(EXTERNE_POZICIE!$M$53:$M$64)*1.23)/EXTERNE_POZICIE!$B$53)),0)+IFERROR(SUM(#REF!)*'TCO TO BE- SW'!W$4/'TCO TO BE- SW'!$E$4,0)</f>
        <v>0</v>
      </c>
      <c r="X165" s="574">
        <f>IFERROR(IF((POZICIE_INTERNE!$B$53-12*('TCO TO BE- SW'!$D155-1))&gt;12,((X$4+'TCO TO BE - HW'!X$4)/($E$4+'TCO TO BE - HW'!$E$4)*SUM(POZICIE_INTERNE!$I$53:$I$64))/POZICIE_INTERNE!$B$53*12,IF((POZICIE_INTERNE!$B$53-12*('TCO TO BE- SW'!$D155-1))&lt;0,0,(POZICIE_INTERNE!$B$53-12*('TCO TO BE- SW'!$D155-1))*((X$4+'TCO TO BE - HW'!X$4)/($E$4+'TCO TO BE - HW'!$E$4)*SUM(POZICIE_INTERNE!$I$53:$I$64))/POZICIE_INTERNE!$B$53)),0)+IFERROR(IF((EXTERNE_POZICIE!$B$53-12*('TCO TO BE- SW'!$D155-1))&gt;12,((X$4+'TCO TO BE - HW'!X$4)/($E$4+'TCO TO BE - HW'!$E$4)*SUM(EXTERNE_POZICIE!$M$53:$M$64)*1.23)/EXTERNE_POZICIE!$B$41*12,IF((EXTERNE_POZICIE!$B$53-12*('TCO TO BE- SW'!$D155-1))&lt;0,0,(EXTERNE_POZICIE!$B$53-12*('TCO TO BE- SW'!$D155-1))*((X$4+'TCO TO BE - HW'!X$4)/($E$4+'TCO TO BE - HW'!$E$4)*SUM(EXTERNE_POZICIE!$M$53:$M$64)*1.23)/EXTERNE_POZICIE!$B$53)),0)+IFERROR(SUM(#REF!)*'TCO TO BE- SW'!X$4/'TCO TO BE- SW'!$E$4,0)</f>
        <v>0</v>
      </c>
      <c r="Y165" s="574">
        <f>IFERROR(IF((POZICIE_INTERNE!$B$53-12*('TCO TO BE- SW'!$D155-1))&gt;12,((Y$4+'TCO TO BE - HW'!Y$4)/($E$4+'TCO TO BE - HW'!$E$4)*SUM(POZICIE_INTERNE!$I$53:$I$64))/POZICIE_INTERNE!$B$53*12,IF((POZICIE_INTERNE!$B$53-12*('TCO TO BE- SW'!$D155-1))&lt;0,0,(POZICIE_INTERNE!$B$53-12*('TCO TO BE- SW'!$D155-1))*((Y$4+'TCO TO BE - HW'!Y$4)/($E$4+'TCO TO BE - HW'!$E$4)*SUM(POZICIE_INTERNE!$I$53:$I$64))/POZICIE_INTERNE!$B$53)),0)+IFERROR(IF((EXTERNE_POZICIE!$B$53-12*('TCO TO BE- SW'!$D155-1))&gt;12,((Y$4+'TCO TO BE - HW'!Y$4)/($E$4+'TCO TO BE - HW'!$E$4)*SUM(EXTERNE_POZICIE!$M$53:$M$64)*1.23)/EXTERNE_POZICIE!$B$41*12,IF((EXTERNE_POZICIE!$B$53-12*('TCO TO BE- SW'!$D155-1))&lt;0,0,(EXTERNE_POZICIE!$B$53-12*('TCO TO BE- SW'!$D155-1))*((Y$4+'TCO TO BE - HW'!Y$4)/($E$4+'TCO TO BE - HW'!$E$4)*SUM(EXTERNE_POZICIE!$M$53:$M$64)*1.23)/EXTERNE_POZICIE!$B$53)),0)+IFERROR(SUM(#REF!)*'TCO TO BE- SW'!Y$4/'TCO TO BE- SW'!$E$4,0)</f>
        <v>0</v>
      </c>
      <c r="Z165" s="574">
        <f>IFERROR(IF((POZICIE_INTERNE!$B$53-12*('TCO TO BE- SW'!$D155-1))&gt;12,((Z$4+'TCO TO BE - HW'!Z$4)/($E$4+'TCO TO BE - HW'!$E$4)*SUM(POZICIE_INTERNE!$I$53:$I$64))/POZICIE_INTERNE!$B$53*12,IF((POZICIE_INTERNE!$B$53-12*('TCO TO BE- SW'!$D155-1))&lt;0,0,(POZICIE_INTERNE!$B$53-12*('TCO TO BE- SW'!$D155-1))*((Z$4+'TCO TO BE - HW'!Z$4)/($E$4+'TCO TO BE - HW'!$E$4)*SUM(POZICIE_INTERNE!$I$53:$I$64))/POZICIE_INTERNE!$B$53)),0)+IFERROR(IF((EXTERNE_POZICIE!$B$53-12*('TCO TO BE- SW'!$D155-1))&gt;12,((Z$4+'TCO TO BE - HW'!Z$4)/($E$4+'TCO TO BE - HW'!$E$4)*SUM(EXTERNE_POZICIE!$M$53:$M$64)*1.23)/EXTERNE_POZICIE!$B$41*12,IF((EXTERNE_POZICIE!$B$53-12*('TCO TO BE- SW'!$D155-1))&lt;0,0,(EXTERNE_POZICIE!$B$53-12*('TCO TO BE- SW'!$D155-1))*((Z$4+'TCO TO BE - HW'!Z$4)/($E$4+'TCO TO BE - HW'!$E$4)*SUM(EXTERNE_POZICIE!$M$53:$M$64)*1.23)/EXTERNE_POZICIE!$B$53)),0)+IFERROR(SUM(#REF!)*'TCO TO BE- SW'!Z$4/'TCO TO BE- SW'!$E$4,0)</f>
        <v>0</v>
      </c>
    </row>
    <row r="166" spans="1:26">
      <c r="A166" s="817"/>
      <c r="B166" s="818"/>
      <c r="C166" s="818"/>
      <c r="D166" s="64">
        <v>6</v>
      </c>
      <c r="E166" s="68">
        <f t="shared" si="16"/>
        <v>0</v>
      </c>
      <c r="F166" s="574">
        <f>IFERROR(IF((POZICIE_INTERNE!$B$53-12*('TCO TO BE- SW'!$D156-1))&gt;12,((F$4+'TCO TO BE - HW'!F$4)/($E$4+'TCO TO BE - HW'!$E$4)*SUM(POZICIE_INTERNE!$I$53:$I$64))/POZICIE_INTERNE!$B$53*12,IF((POZICIE_INTERNE!$B$53-12*('TCO TO BE- SW'!$D156-1))&lt;0,0,(POZICIE_INTERNE!$B$53-12*('TCO TO BE- SW'!$D156-1))*((F$4+'TCO TO BE - HW'!F$4)/($E$4+'TCO TO BE - HW'!$E$4)*SUM(POZICIE_INTERNE!$I$53:$I$64))/POZICIE_INTERNE!$B$53)),0)+IFERROR(IF((EXTERNE_POZICIE!$B$53-12*('TCO TO BE- SW'!$D156-1))&gt;12,((F$4+'TCO TO BE - HW'!F$4)/($E$4+'TCO TO BE - HW'!$E$4)*SUM(EXTERNE_POZICIE!$M$53:$M$64)*1.23)/EXTERNE_POZICIE!$B$41*12,IF((EXTERNE_POZICIE!$B$53-12*('TCO TO BE- SW'!$D156-1))&lt;0,0,(EXTERNE_POZICIE!$B$53-12*('TCO TO BE- SW'!$D156-1))*((F$4+'TCO TO BE - HW'!F$4)/($E$4+'TCO TO BE - HW'!$E$4)*SUM(EXTERNE_POZICIE!$M$53:$M$64)*1.23)/EXTERNE_POZICIE!$B$53)),0)+IFERROR(SUM(#REF!)*'TCO TO BE- SW'!F$4/'TCO TO BE- SW'!$E$4,0)</f>
        <v>0</v>
      </c>
      <c r="G166" s="574">
        <f>IFERROR(IF((POZICIE_INTERNE!$B$53-12*('TCO TO BE- SW'!$D156-1))&gt;12,((G$4+'TCO TO BE - HW'!G$4)/($E$4+'TCO TO BE - HW'!$E$4)*SUM(POZICIE_INTERNE!$I$53:$I$64))/POZICIE_INTERNE!$B$53*12,IF((POZICIE_INTERNE!$B$53-12*('TCO TO BE- SW'!$D156-1))&lt;0,0,(POZICIE_INTERNE!$B$53-12*('TCO TO BE- SW'!$D156-1))*((G$4+'TCO TO BE - HW'!G$4)/($E$4+'TCO TO BE - HW'!$E$4)*SUM(POZICIE_INTERNE!$I$53:$I$64))/POZICIE_INTERNE!$B$53)),0)+IFERROR(IF((EXTERNE_POZICIE!$B$53-12*('TCO TO BE- SW'!$D156-1))&gt;12,((G$4+'TCO TO BE - HW'!G$4)/($E$4+'TCO TO BE - HW'!$E$4)*SUM(EXTERNE_POZICIE!$M$53:$M$64)*1.23)/EXTERNE_POZICIE!$B$41*12,IF((EXTERNE_POZICIE!$B$53-12*('TCO TO BE- SW'!$D156-1))&lt;0,0,(EXTERNE_POZICIE!$B$53-12*('TCO TO BE- SW'!$D156-1))*((G$4+'TCO TO BE - HW'!G$4)/($E$4+'TCO TO BE - HW'!$E$4)*SUM(EXTERNE_POZICIE!$M$53:$M$64)*1.23)/EXTERNE_POZICIE!$B$53)),0)+IFERROR(SUM(#REF!)*'TCO TO BE- SW'!G$4/'TCO TO BE- SW'!$E$4,0)</f>
        <v>0</v>
      </c>
      <c r="H166" s="574">
        <f>IFERROR(IF((POZICIE_INTERNE!$B$53-12*('TCO TO BE- SW'!$D156-1))&gt;12,((H$4+'TCO TO BE - HW'!H$4)/($E$4+'TCO TO BE - HW'!$E$4)*SUM(POZICIE_INTERNE!$I$53:$I$64))/POZICIE_INTERNE!$B$53*12,IF((POZICIE_INTERNE!$B$53-12*('TCO TO BE- SW'!$D156-1))&lt;0,0,(POZICIE_INTERNE!$B$53-12*('TCO TO BE- SW'!$D156-1))*((H$4+'TCO TO BE - HW'!H$4)/($E$4+'TCO TO BE - HW'!$E$4)*SUM(POZICIE_INTERNE!$I$53:$I$64))/POZICIE_INTERNE!$B$53)),0)+IFERROR(IF((EXTERNE_POZICIE!$B$53-12*('TCO TO BE- SW'!$D156-1))&gt;12,((H$4+'TCO TO BE - HW'!H$4)/($E$4+'TCO TO BE - HW'!$E$4)*SUM(EXTERNE_POZICIE!$M$53:$M$64)*1.23)/EXTERNE_POZICIE!$B$41*12,IF((EXTERNE_POZICIE!$B$53-12*('TCO TO BE- SW'!$D156-1))&lt;0,0,(EXTERNE_POZICIE!$B$53-12*('TCO TO BE- SW'!$D156-1))*((H$4+'TCO TO BE - HW'!H$4)/($E$4+'TCO TO BE - HW'!$E$4)*SUM(EXTERNE_POZICIE!$M$53:$M$64)*1.23)/EXTERNE_POZICIE!$B$53)),0)+IFERROR(SUM(#REF!)*'TCO TO BE- SW'!H$4/'TCO TO BE- SW'!$E$4,0)</f>
        <v>0</v>
      </c>
      <c r="I166" s="574">
        <f>IFERROR(IF((POZICIE_INTERNE!$B$53-12*('TCO TO BE- SW'!$D156-1))&gt;12,((I$4+'TCO TO BE - HW'!I$4)/($E$4+'TCO TO BE - HW'!$E$4)*SUM(POZICIE_INTERNE!$I$53:$I$64))/POZICIE_INTERNE!$B$53*12,IF((POZICIE_INTERNE!$B$53-12*('TCO TO BE- SW'!$D156-1))&lt;0,0,(POZICIE_INTERNE!$B$53-12*('TCO TO BE- SW'!$D156-1))*((I$4+'TCO TO BE - HW'!I$4)/($E$4+'TCO TO BE - HW'!$E$4)*SUM(POZICIE_INTERNE!$I$53:$I$64))/POZICIE_INTERNE!$B$53)),0)+IFERROR(IF((EXTERNE_POZICIE!$B$53-12*('TCO TO BE- SW'!$D156-1))&gt;12,((I$4+'TCO TO BE - HW'!I$4)/($E$4+'TCO TO BE - HW'!$E$4)*SUM(EXTERNE_POZICIE!$M$53:$M$64)*1.23)/EXTERNE_POZICIE!$B$41*12,IF((EXTERNE_POZICIE!$B$53-12*('TCO TO BE- SW'!$D156-1))&lt;0,0,(EXTERNE_POZICIE!$B$53-12*('TCO TO BE- SW'!$D156-1))*((I$4+'TCO TO BE - HW'!I$4)/($E$4+'TCO TO BE - HW'!$E$4)*SUM(EXTERNE_POZICIE!$M$53:$M$64)*1.23)/EXTERNE_POZICIE!$B$53)),0)+IFERROR(SUM(#REF!)*'TCO TO BE- SW'!I$4/'TCO TO BE- SW'!$E$4,0)</f>
        <v>0</v>
      </c>
      <c r="J166" s="574">
        <f>IFERROR(IF((POZICIE_INTERNE!$B$53-12*('TCO TO BE- SW'!$D156-1))&gt;12,((J$4+'TCO TO BE - HW'!J$4)/($E$4+'TCO TO BE - HW'!$E$4)*SUM(POZICIE_INTERNE!$I$53:$I$64))/POZICIE_INTERNE!$B$53*12,IF((POZICIE_INTERNE!$B$53-12*('TCO TO BE- SW'!$D156-1))&lt;0,0,(POZICIE_INTERNE!$B$53-12*('TCO TO BE- SW'!$D156-1))*((J$4+'TCO TO BE - HW'!J$4)/($E$4+'TCO TO BE - HW'!$E$4)*SUM(POZICIE_INTERNE!$I$53:$I$64))/POZICIE_INTERNE!$B$53)),0)+IFERROR(IF((EXTERNE_POZICIE!$B$53-12*('TCO TO BE- SW'!$D156-1))&gt;12,((J$4+'TCO TO BE - HW'!J$4)/($E$4+'TCO TO BE - HW'!$E$4)*SUM(EXTERNE_POZICIE!$M$53:$M$64)*1.23)/EXTERNE_POZICIE!$B$41*12,IF((EXTERNE_POZICIE!$B$53-12*('TCO TO BE- SW'!$D156-1))&lt;0,0,(EXTERNE_POZICIE!$B$53-12*('TCO TO BE- SW'!$D156-1))*((J$4+'TCO TO BE - HW'!J$4)/($E$4+'TCO TO BE - HW'!$E$4)*SUM(EXTERNE_POZICIE!$M$53:$M$64)*1.23)/EXTERNE_POZICIE!$B$53)),0)+IFERROR(SUM(#REF!)*'TCO TO BE- SW'!J$4/'TCO TO BE- SW'!$E$4,0)</f>
        <v>0</v>
      </c>
      <c r="K166" s="574">
        <f>IFERROR(IF((POZICIE_INTERNE!$B$53-12*('TCO TO BE- SW'!$D156-1))&gt;12,((K$4+'TCO TO BE - HW'!K$4)/($E$4+'TCO TO BE - HW'!$E$4)*SUM(POZICIE_INTERNE!$I$53:$I$64))/POZICIE_INTERNE!$B$53*12,IF((POZICIE_INTERNE!$B$53-12*('TCO TO BE- SW'!$D156-1))&lt;0,0,(POZICIE_INTERNE!$B$53-12*('TCO TO BE- SW'!$D156-1))*((K$4+'TCO TO BE - HW'!K$4)/($E$4+'TCO TO BE - HW'!$E$4)*SUM(POZICIE_INTERNE!$I$53:$I$64))/POZICIE_INTERNE!$B$53)),0)+IFERROR(IF((EXTERNE_POZICIE!$B$53-12*('TCO TO BE- SW'!$D156-1))&gt;12,((K$4+'TCO TO BE - HW'!K$4)/($E$4+'TCO TO BE - HW'!$E$4)*SUM(EXTERNE_POZICIE!$M$53:$M$64)*1.23)/EXTERNE_POZICIE!$B$41*12,IF((EXTERNE_POZICIE!$B$53-12*('TCO TO BE- SW'!$D156-1))&lt;0,0,(EXTERNE_POZICIE!$B$53-12*('TCO TO BE- SW'!$D156-1))*((K$4+'TCO TO BE - HW'!K$4)/($E$4+'TCO TO BE - HW'!$E$4)*SUM(EXTERNE_POZICIE!$M$53:$M$64)*1.23)/EXTERNE_POZICIE!$B$53)),0)+IFERROR(SUM(#REF!)*'TCO TO BE- SW'!K$4/'TCO TO BE- SW'!$E$4,0)</f>
        <v>0</v>
      </c>
      <c r="L166" s="574">
        <f>IFERROR(IF((POZICIE_INTERNE!$B$53-12*('TCO TO BE- SW'!$D156-1))&gt;12,((L$4+'TCO TO BE - HW'!L$4)/($E$4+'TCO TO BE - HW'!$E$4)*SUM(POZICIE_INTERNE!$I$53:$I$64))/POZICIE_INTERNE!$B$53*12,IF((POZICIE_INTERNE!$B$53-12*('TCO TO BE- SW'!$D156-1))&lt;0,0,(POZICIE_INTERNE!$B$53-12*('TCO TO BE- SW'!$D156-1))*((L$4+'TCO TO BE - HW'!L$4)/($E$4+'TCO TO BE - HW'!$E$4)*SUM(POZICIE_INTERNE!$I$53:$I$64))/POZICIE_INTERNE!$B$53)),0)+IFERROR(IF((EXTERNE_POZICIE!$B$53-12*('TCO TO BE- SW'!$D156-1))&gt;12,((L$4+'TCO TO BE - HW'!L$4)/($E$4+'TCO TO BE - HW'!$E$4)*SUM(EXTERNE_POZICIE!$M$53:$M$64)*1.23)/EXTERNE_POZICIE!$B$41*12,IF((EXTERNE_POZICIE!$B$53-12*('TCO TO BE- SW'!$D156-1))&lt;0,0,(EXTERNE_POZICIE!$B$53-12*('TCO TO BE- SW'!$D156-1))*((L$4+'TCO TO BE - HW'!L$4)/($E$4+'TCO TO BE - HW'!$E$4)*SUM(EXTERNE_POZICIE!$M$53:$M$64)*1.23)/EXTERNE_POZICIE!$B$53)),0)+IFERROR(SUM(#REF!)*'TCO TO BE- SW'!L$4/'TCO TO BE- SW'!$E$4,0)</f>
        <v>0</v>
      </c>
      <c r="M166" s="574">
        <f>IFERROR(IF((POZICIE_INTERNE!$B$53-12*('TCO TO BE- SW'!$D156-1))&gt;12,((M$4+'TCO TO BE - HW'!M$4)/($E$4+'TCO TO BE - HW'!$E$4)*SUM(POZICIE_INTERNE!$I$53:$I$64))/POZICIE_INTERNE!$B$53*12,IF((POZICIE_INTERNE!$B$53-12*('TCO TO BE- SW'!$D156-1))&lt;0,0,(POZICIE_INTERNE!$B$53-12*('TCO TO BE- SW'!$D156-1))*((M$4+'TCO TO BE - HW'!M$4)/($E$4+'TCO TO BE - HW'!$E$4)*SUM(POZICIE_INTERNE!$I$53:$I$64))/POZICIE_INTERNE!$B$53)),0)+IFERROR(IF((EXTERNE_POZICIE!$B$53-12*('TCO TO BE- SW'!$D156-1))&gt;12,((M$4+'TCO TO BE - HW'!M$4)/($E$4+'TCO TO BE - HW'!$E$4)*SUM(EXTERNE_POZICIE!$M$53:$M$64)*1.23)/EXTERNE_POZICIE!$B$41*12,IF((EXTERNE_POZICIE!$B$53-12*('TCO TO BE- SW'!$D156-1))&lt;0,0,(EXTERNE_POZICIE!$B$53-12*('TCO TO BE- SW'!$D156-1))*((M$4+'TCO TO BE - HW'!M$4)/($E$4+'TCO TO BE - HW'!$E$4)*SUM(EXTERNE_POZICIE!$M$53:$M$64)*1.23)/EXTERNE_POZICIE!$B$53)),0)+IFERROR(SUM(#REF!)*'TCO TO BE- SW'!M$4/'TCO TO BE- SW'!$E$4,0)</f>
        <v>0</v>
      </c>
      <c r="N166" s="574">
        <f>IFERROR(IF((POZICIE_INTERNE!$B$53-12*('TCO TO BE- SW'!$D156-1))&gt;12,((N$4+'TCO TO BE - HW'!N$4)/($E$4+'TCO TO BE - HW'!$E$4)*SUM(POZICIE_INTERNE!$I$53:$I$64))/POZICIE_INTERNE!$B$53*12,IF((POZICIE_INTERNE!$B$53-12*('TCO TO BE- SW'!$D156-1))&lt;0,0,(POZICIE_INTERNE!$B$53-12*('TCO TO BE- SW'!$D156-1))*((N$4+'TCO TO BE - HW'!N$4)/($E$4+'TCO TO BE - HW'!$E$4)*SUM(POZICIE_INTERNE!$I$53:$I$64))/POZICIE_INTERNE!$B$53)),0)+IFERROR(IF((EXTERNE_POZICIE!$B$53-12*('TCO TO BE- SW'!$D156-1))&gt;12,((N$4+'TCO TO BE - HW'!N$4)/($E$4+'TCO TO BE - HW'!$E$4)*SUM(EXTERNE_POZICIE!$M$53:$M$64)*1.23)/EXTERNE_POZICIE!$B$41*12,IF((EXTERNE_POZICIE!$B$53-12*('TCO TO BE- SW'!$D156-1))&lt;0,0,(EXTERNE_POZICIE!$B$53-12*('TCO TO BE- SW'!$D156-1))*((N$4+'TCO TO BE - HW'!N$4)/($E$4+'TCO TO BE - HW'!$E$4)*SUM(EXTERNE_POZICIE!$M$53:$M$64)*1.23)/EXTERNE_POZICIE!$B$53)),0)+IFERROR(SUM(#REF!)*'TCO TO BE- SW'!N$4/'TCO TO BE- SW'!$E$4,0)</f>
        <v>0</v>
      </c>
      <c r="O166" s="574">
        <f>IFERROR(IF((POZICIE_INTERNE!$B$53-12*('TCO TO BE- SW'!$D156-1))&gt;12,((O$4+'TCO TO BE - HW'!O$4)/($E$4+'TCO TO BE - HW'!$E$4)*SUM(POZICIE_INTERNE!$I$53:$I$64))/POZICIE_INTERNE!$B$53*12,IF((POZICIE_INTERNE!$B$53-12*('TCO TO BE- SW'!$D156-1))&lt;0,0,(POZICIE_INTERNE!$B$53-12*('TCO TO BE- SW'!$D156-1))*((O$4+'TCO TO BE - HW'!O$4)/($E$4+'TCO TO BE - HW'!$E$4)*SUM(POZICIE_INTERNE!$I$53:$I$64))/POZICIE_INTERNE!$B$53)),0)+IFERROR(IF((EXTERNE_POZICIE!$B$53-12*('TCO TO BE- SW'!$D156-1))&gt;12,((O$4+'TCO TO BE - HW'!O$4)/($E$4+'TCO TO BE - HW'!$E$4)*SUM(EXTERNE_POZICIE!$M$53:$M$64)*1.23)/EXTERNE_POZICIE!$B$41*12,IF((EXTERNE_POZICIE!$B$53-12*('TCO TO BE- SW'!$D156-1))&lt;0,0,(EXTERNE_POZICIE!$B$53-12*('TCO TO BE- SW'!$D156-1))*((O$4+'TCO TO BE - HW'!O$4)/($E$4+'TCO TO BE - HW'!$E$4)*SUM(EXTERNE_POZICIE!$M$53:$M$64)*1.23)/EXTERNE_POZICIE!$B$53)),0)+IFERROR(SUM(#REF!)*'TCO TO BE- SW'!O$4/'TCO TO BE- SW'!$E$4,0)</f>
        <v>0</v>
      </c>
      <c r="P166" s="574">
        <f>IFERROR(IF((POZICIE_INTERNE!$B$53-12*('TCO TO BE- SW'!$D156-1))&gt;12,((P$4+'TCO TO BE - HW'!P$4)/($E$4+'TCO TO BE - HW'!$E$4)*SUM(POZICIE_INTERNE!$I$53:$I$64))/POZICIE_INTERNE!$B$53*12,IF((POZICIE_INTERNE!$B$53-12*('TCO TO BE- SW'!$D156-1))&lt;0,0,(POZICIE_INTERNE!$B$53-12*('TCO TO BE- SW'!$D156-1))*((P$4+'TCO TO BE - HW'!P$4)/($E$4+'TCO TO BE - HW'!$E$4)*SUM(POZICIE_INTERNE!$I$53:$I$64))/POZICIE_INTERNE!$B$53)),0)+IFERROR(IF((EXTERNE_POZICIE!$B$53-12*('TCO TO BE- SW'!$D156-1))&gt;12,((P$4+'TCO TO BE - HW'!P$4)/($E$4+'TCO TO BE - HW'!$E$4)*SUM(EXTERNE_POZICIE!$M$53:$M$64)*1.23)/EXTERNE_POZICIE!$B$41*12,IF((EXTERNE_POZICIE!$B$53-12*('TCO TO BE- SW'!$D156-1))&lt;0,0,(EXTERNE_POZICIE!$B$53-12*('TCO TO BE- SW'!$D156-1))*((P$4+'TCO TO BE - HW'!P$4)/($E$4+'TCO TO BE - HW'!$E$4)*SUM(EXTERNE_POZICIE!$M$53:$M$64)*1.23)/EXTERNE_POZICIE!$B$53)),0)+IFERROR(SUM(#REF!)*'TCO TO BE- SW'!P$4/'TCO TO BE- SW'!$E$4,0)</f>
        <v>0</v>
      </c>
      <c r="Q166" s="574">
        <f>IFERROR(IF((POZICIE_INTERNE!$B$53-12*('TCO TO BE- SW'!$D156-1))&gt;12,((Q$4+'TCO TO BE - HW'!Q$4)/($E$4+'TCO TO BE - HW'!$E$4)*SUM(POZICIE_INTERNE!$I$53:$I$64))/POZICIE_INTERNE!$B$53*12,IF((POZICIE_INTERNE!$B$53-12*('TCO TO BE- SW'!$D156-1))&lt;0,0,(POZICIE_INTERNE!$B$53-12*('TCO TO BE- SW'!$D156-1))*((Q$4+'TCO TO BE - HW'!Q$4)/($E$4+'TCO TO BE - HW'!$E$4)*SUM(POZICIE_INTERNE!$I$53:$I$64))/POZICIE_INTERNE!$B$53)),0)+IFERROR(IF((EXTERNE_POZICIE!$B$53-12*('TCO TO BE- SW'!$D156-1))&gt;12,((Q$4+'TCO TO BE - HW'!Q$4)/($E$4+'TCO TO BE - HW'!$E$4)*SUM(EXTERNE_POZICIE!$M$53:$M$64)*1.23)/EXTERNE_POZICIE!$B$41*12,IF((EXTERNE_POZICIE!$B$53-12*('TCO TO BE- SW'!$D156-1))&lt;0,0,(EXTERNE_POZICIE!$B$53-12*('TCO TO BE- SW'!$D156-1))*((Q$4+'TCO TO BE - HW'!Q$4)/($E$4+'TCO TO BE - HW'!$E$4)*SUM(EXTERNE_POZICIE!$M$53:$M$64)*1.23)/EXTERNE_POZICIE!$B$53)),0)+IFERROR(SUM(#REF!)*'TCO TO BE- SW'!Q$4/'TCO TO BE- SW'!$E$4,0)</f>
        <v>0</v>
      </c>
      <c r="R166" s="574">
        <f>IFERROR(IF((POZICIE_INTERNE!$B$53-12*('TCO TO BE- SW'!$D156-1))&gt;12,((R$4+'TCO TO BE - HW'!R$4)/($E$4+'TCO TO BE - HW'!$E$4)*SUM(POZICIE_INTERNE!$I$53:$I$64))/POZICIE_INTERNE!$B$53*12,IF((POZICIE_INTERNE!$B$53-12*('TCO TO BE- SW'!$D156-1))&lt;0,0,(POZICIE_INTERNE!$B$53-12*('TCO TO BE- SW'!$D156-1))*((R$4+'TCO TO BE - HW'!R$4)/($E$4+'TCO TO BE - HW'!$E$4)*SUM(POZICIE_INTERNE!$I$53:$I$64))/POZICIE_INTERNE!$B$53)),0)+IFERROR(IF((EXTERNE_POZICIE!$B$53-12*('TCO TO BE- SW'!$D156-1))&gt;12,((R$4+'TCO TO BE - HW'!R$4)/($E$4+'TCO TO BE - HW'!$E$4)*SUM(EXTERNE_POZICIE!$M$53:$M$64)*1.23)/EXTERNE_POZICIE!$B$41*12,IF((EXTERNE_POZICIE!$B$53-12*('TCO TO BE- SW'!$D156-1))&lt;0,0,(EXTERNE_POZICIE!$B$53-12*('TCO TO BE- SW'!$D156-1))*((R$4+'TCO TO BE - HW'!R$4)/($E$4+'TCO TO BE - HW'!$E$4)*SUM(EXTERNE_POZICIE!$M$53:$M$64)*1.23)/EXTERNE_POZICIE!$B$53)),0)+IFERROR(SUM(#REF!)*'TCO TO BE- SW'!R$4/'TCO TO BE- SW'!$E$4,0)</f>
        <v>0</v>
      </c>
      <c r="S166" s="574">
        <f>IFERROR(IF((POZICIE_INTERNE!$B$53-12*('TCO TO BE- SW'!$D156-1))&gt;12,((S$4+'TCO TO BE - HW'!S$4)/($E$4+'TCO TO BE - HW'!$E$4)*SUM(POZICIE_INTERNE!$I$53:$I$64))/POZICIE_INTERNE!$B$53*12,IF((POZICIE_INTERNE!$B$53-12*('TCO TO BE- SW'!$D156-1))&lt;0,0,(POZICIE_INTERNE!$B$53-12*('TCO TO BE- SW'!$D156-1))*((S$4+'TCO TO BE - HW'!S$4)/($E$4+'TCO TO BE - HW'!$E$4)*SUM(POZICIE_INTERNE!$I$53:$I$64))/POZICIE_INTERNE!$B$53)),0)+IFERROR(IF((EXTERNE_POZICIE!$B$53-12*('TCO TO BE- SW'!$D156-1))&gt;12,((S$4+'TCO TO BE - HW'!S$4)/($E$4+'TCO TO BE - HW'!$E$4)*SUM(EXTERNE_POZICIE!$M$53:$M$64)*1.23)/EXTERNE_POZICIE!$B$41*12,IF((EXTERNE_POZICIE!$B$53-12*('TCO TO BE- SW'!$D156-1))&lt;0,0,(EXTERNE_POZICIE!$B$53-12*('TCO TO BE- SW'!$D156-1))*((S$4+'TCO TO BE - HW'!S$4)/($E$4+'TCO TO BE - HW'!$E$4)*SUM(EXTERNE_POZICIE!$M$53:$M$64)*1.23)/EXTERNE_POZICIE!$B$53)),0)+IFERROR(SUM(#REF!)*'TCO TO BE- SW'!S$4/'TCO TO BE- SW'!$E$4,0)</f>
        <v>0</v>
      </c>
      <c r="T166" s="574">
        <f>IFERROR(IF((POZICIE_INTERNE!$B$53-12*('TCO TO BE- SW'!$D156-1))&gt;12,((T$4+'TCO TO BE - HW'!T$4)/($E$4+'TCO TO BE - HW'!$E$4)*SUM(POZICIE_INTERNE!$I$53:$I$64))/POZICIE_INTERNE!$B$53*12,IF((POZICIE_INTERNE!$B$53-12*('TCO TO BE- SW'!$D156-1))&lt;0,0,(POZICIE_INTERNE!$B$53-12*('TCO TO BE- SW'!$D156-1))*((T$4+'TCO TO BE - HW'!T$4)/($E$4+'TCO TO BE - HW'!$E$4)*SUM(POZICIE_INTERNE!$I$53:$I$64))/POZICIE_INTERNE!$B$53)),0)+IFERROR(IF((EXTERNE_POZICIE!$B$53-12*('TCO TO BE- SW'!$D156-1))&gt;12,((T$4+'TCO TO BE - HW'!T$4)/($E$4+'TCO TO BE - HW'!$E$4)*SUM(EXTERNE_POZICIE!$M$53:$M$64)*1.23)/EXTERNE_POZICIE!$B$41*12,IF((EXTERNE_POZICIE!$B$53-12*('TCO TO BE- SW'!$D156-1))&lt;0,0,(EXTERNE_POZICIE!$B$53-12*('TCO TO BE- SW'!$D156-1))*((T$4+'TCO TO BE - HW'!T$4)/($E$4+'TCO TO BE - HW'!$E$4)*SUM(EXTERNE_POZICIE!$M$53:$M$64)*1.23)/EXTERNE_POZICIE!$B$53)),0)+IFERROR(SUM(#REF!)*'TCO TO BE- SW'!T$4/'TCO TO BE- SW'!$E$4,0)</f>
        <v>0</v>
      </c>
      <c r="U166" s="574">
        <f>IFERROR(IF((POZICIE_INTERNE!$B$53-12*('TCO TO BE- SW'!$D156-1))&gt;12,((U$4+'TCO TO BE - HW'!U$4)/($E$4+'TCO TO BE - HW'!$E$4)*SUM(POZICIE_INTERNE!$I$53:$I$64))/POZICIE_INTERNE!$B$53*12,IF((POZICIE_INTERNE!$B$53-12*('TCO TO BE- SW'!$D156-1))&lt;0,0,(POZICIE_INTERNE!$B$53-12*('TCO TO BE- SW'!$D156-1))*((U$4+'TCO TO BE - HW'!U$4)/($E$4+'TCO TO BE - HW'!$E$4)*SUM(POZICIE_INTERNE!$I$53:$I$64))/POZICIE_INTERNE!$B$53)),0)+IFERROR(IF((EXTERNE_POZICIE!$B$53-12*('TCO TO BE- SW'!$D156-1))&gt;12,((U$4+'TCO TO BE - HW'!U$4)/($E$4+'TCO TO BE - HW'!$E$4)*SUM(EXTERNE_POZICIE!$M$53:$M$64)*1.23)/EXTERNE_POZICIE!$B$41*12,IF((EXTERNE_POZICIE!$B$53-12*('TCO TO BE- SW'!$D156-1))&lt;0,0,(EXTERNE_POZICIE!$B$53-12*('TCO TO BE- SW'!$D156-1))*((U$4+'TCO TO BE - HW'!U$4)/($E$4+'TCO TO BE - HW'!$E$4)*SUM(EXTERNE_POZICIE!$M$53:$M$64)*1.23)/EXTERNE_POZICIE!$B$53)),0)+IFERROR(SUM(#REF!)*'TCO TO BE- SW'!U$4/'TCO TO BE- SW'!$E$4,0)</f>
        <v>0</v>
      </c>
      <c r="V166" s="574">
        <f>IFERROR(IF((POZICIE_INTERNE!$B$53-12*('TCO TO BE- SW'!$D156-1))&gt;12,((V$4+'TCO TO BE - HW'!V$4)/($E$4+'TCO TO BE - HW'!$E$4)*SUM(POZICIE_INTERNE!$I$53:$I$64))/POZICIE_INTERNE!$B$53*12,IF((POZICIE_INTERNE!$B$53-12*('TCO TO BE- SW'!$D156-1))&lt;0,0,(POZICIE_INTERNE!$B$53-12*('TCO TO BE- SW'!$D156-1))*((V$4+'TCO TO BE - HW'!V$4)/($E$4+'TCO TO BE - HW'!$E$4)*SUM(POZICIE_INTERNE!$I$53:$I$64))/POZICIE_INTERNE!$B$53)),0)+IFERROR(IF((EXTERNE_POZICIE!$B$53-12*('TCO TO BE- SW'!$D156-1))&gt;12,((V$4+'TCO TO BE - HW'!V$4)/($E$4+'TCO TO BE - HW'!$E$4)*SUM(EXTERNE_POZICIE!$M$53:$M$64)*1.23)/EXTERNE_POZICIE!$B$41*12,IF((EXTERNE_POZICIE!$B$53-12*('TCO TO BE- SW'!$D156-1))&lt;0,0,(EXTERNE_POZICIE!$B$53-12*('TCO TO BE- SW'!$D156-1))*((V$4+'TCO TO BE - HW'!V$4)/($E$4+'TCO TO BE - HW'!$E$4)*SUM(EXTERNE_POZICIE!$M$53:$M$64)*1.23)/EXTERNE_POZICIE!$B$53)),0)+IFERROR(SUM(#REF!)*'TCO TO BE- SW'!V$4/'TCO TO BE- SW'!$E$4,0)</f>
        <v>0</v>
      </c>
      <c r="W166" s="574">
        <f>IFERROR(IF((POZICIE_INTERNE!$B$53-12*('TCO TO BE- SW'!$D156-1))&gt;12,((W$4+'TCO TO BE - HW'!W$4)/($E$4+'TCO TO BE - HW'!$E$4)*SUM(POZICIE_INTERNE!$I$53:$I$64))/POZICIE_INTERNE!$B$53*12,IF((POZICIE_INTERNE!$B$53-12*('TCO TO BE- SW'!$D156-1))&lt;0,0,(POZICIE_INTERNE!$B$53-12*('TCO TO BE- SW'!$D156-1))*((W$4+'TCO TO BE - HW'!W$4)/($E$4+'TCO TO BE - HW'!$E$4)*SUM(POZICIE_INTERNE!$I$53:$I$64))/POZICIE_INTERNE!$B$53)),0)+IFERROR(IF((EXTERNE_POZICIE!$B$53-12*('TCO TO BE- SW'!$D156-1))&gt;12,((W$4+'TCO TO BE - HW'!W$4)/($E$4+'TCO TO BE - HW'!$E$4)*SUM(EXTERNE_POZICIE!$M$53:$M$64)*1.23)/EXTERNE_POZICIE!$B$41*12,IF((EXTERNE_POZICIE!$B$53-12*('TCO TO BE- SW'!$D156-1))&lt;0,0,(EXTERNE_POZICIE!$B$53-12*('TCO TO BE- SW'!$D156-1))*((W$4+'TCO TO BE - HW'!W$4)/($E$4+'TCO TO BE - HW'!$E$4)*SUM(EXTERNE_POZICIE!$M$53:$M$64)*1.23)/EXTERNE_POZICIE!$B$53)),0)+IFERROR(SUM(#REF!)*'TCO TO BE- SW'!W$4/'TCO TO BE- SW'!$E$4,0)</f>
        <v>0</v>
      </c>
      <c r="X166" s="574">
        <f>IFERROR(IF((POZICIE_INTERNE!$B$53-12*('TCO TO BE- SW'!$D156-1))&gt;12,((X$4+'TCO TO BE - HW'!X$4)/($E$4+'TCO TO BE - HW'!$E$4)*SUM(POZICIE_INTERNE!$I$53:$I$64))/POZICIE_INTERNE!$B$53*12,IF((POZICIE_INTERNE!$B$53-12*('TCO TO BE- SW'!$D156-1))&lt;0,0,(POZICIE_INTERNE!$B$53-12*('TCO TO BE- SW'!$D156-1))*((X$4+'TCO TO BE - HW'!X$4)/($E$4+'TCO TO BE - HW'!$E$4)*SUM(POZICIE_INTERNE!$I$53:$I$64))/POZICIE_INTERNE!$B$53)),0)+IFERROR(IF((EXTERNE_POZICIE!$B$53-12*('TCO TO BE- SW'!$D156-1))&gt;12,((X$4+'TCO TO BE - HW'!X$4)/($E$4+'TCO TO BE - HW'!$E$4)*SUM(EXTERNE_POZICIE!$M$53:$M$64)*1.23)/EXTERNE_POZICIE!$B$41*12,IF((EXTERNE_POZICIE!$B$53-12*('TCO TO BE- SW'!$D156-1))&lt;0,0,(EXTERNE_POZICIE!$B$53-12*('TCO TO BE- SW'!$D156-1))*((X$4+'TCO TO BE - HW'!X$4)/($E$4+'TCO TO BE - HW'!$E$4)*SUM(EXTERNE_POZICIE!$M$53:$M$64)*1.23)/EXTERNE_POZICIE!$B$53)),0)+IFERROR(SUM(#REF!)*'TCO TO BE- SW'!X$4/'TCO TO BE- SW'!$E$4,0)</f>
        <v>0</v>
      </c>
      <c r="Y166" s="574">
        <f>IFERROR(IF((POZICIE_INTERNE!$B$53-12*('TCO TO BE- SW'!$D156-1))&gt;12,((Y$4+'TCO TO BE - HW'!Y$4)/($E$4+'TCO TO BE - HW'!$E$4)*SUM(POZICIE_INTERNE!$I$53:$I$64))/POZICIE_INTERNE!$B$53*12,IF((POZICIE_INTERNE!$B$53-12*('TCO TO BE- SW'!$D156-1))&lt;0,0,(POZICIE_INTERNE!$B$53-12*('TCO TO BE- SW'!$D156-1))*((Y$4+'TCO TO BE - HW'!Y$4)/($E$4+'TCO TO BE - HW'!$E$4)*SUM(POZICIE_INTERNE!$I$53:$I$64))/POZICIE_INTERNE!$B$53)),0)+IFERROR(IF((EXTERNE_POZICIE!$B$53-12*('TCO TO BE- SW'!$D156-1))&gt;12,((Y$4+'TCO TO BE - HW'!Y$4)/($E$4+'TCO TO BE - HW'!$E$4)*SUM(EXTERNE_POZICIE!$M$53:$M$64)*1.23)/EXTERNE_POZICIE!$B$41*12,IF((EXTERNE_POZICIE!$B$53-12*('TCO TO BE- SW'!$D156-1))&lt;0,0,(EXTERNE_POZICIE!$B$53-12*('TCO TO BE- SW'!$D156-1))*((Y$4+'TCO TO BE - HW'!Y$4)/($E$4+'TCO TO BE - HW'!$E$4)*SUM(EXTERNE_POZICIE!$M$53:$M$64)*1.23)/EXTERNE_POZICIE!$B$53)),0)+IFERROR(SUM(#REF!)*'TCO TO BE- SW'!Y$4/'TCO TO BE- SW'!$E$4,0)</f>
        <v>0</v>
      </c>
      <c r="Z166" s="574">
        <f>IFERROR(IF((POZICIE_INTERNE!$B$53-12*('TCO TO BE- SW'!$D156-1))&gt;12,((Z$4+'TCO TO BE - HW'!Z$4)/($E$4+'TCO TO BE - HW'!$E$4)*SUM(POZICIE_INTERNE!$I$53:$I$64))/POZICIE_INTERNE!$B$53*12,IF((POZICIE_INTERNE!$B$53-12*('TCO TO BE- SW'!$D156-1))&lt;0,0,(POZICIE_INTERNE!$B$53-12*('TCO TO BE- SW'!$D156-1))*((Z$4+'TCO TO BE - HW'!Z$4)/($E$4+'TCO TO BE - HW'!$E$4)*SUM(POZICIE_INTERNE!$I$53:$I$64))/POZICIE_INTERNE!$B$53)),0)+IFERROR(IF((EXTERNE_POZICIE!$B$53-12*('TCO TO BE- SW'!$D156-1))&gt;12,((Z$4+'TCO TO BE - HW'!Z$4)/($E$4+'TCO TO BE - HW'!$E$4)*SUM(EXTERNE_POZICIE!$M$53:$M$64)*1.23)/EXTERNE_POZICIE!$B$41*12,IF((EXTERNE_POZICIE!$B$53-12*('TCO TO BE- SW'!$D156-1))&lt;0,0,(EXTERNE_POZICIE!$B$53-12*('TCO TO BE- SW'!$D156-1))*((Z$4+'TCO TO BE - HW'!Z$4)/($E$4+'TCO TO BE - HW'!$E$4)*SUM(EXTERNE_POZICIE!$M$53:$M$64)*1.23)/EXTERNE_POZICIE!$B$53)),0)+IFERROR(SUM(#REF!)*'TCO TO BE- SW'!Z$4/'TCO TO BE- SW'!$E$4,0)</f>
        <v>0</v>
      </c>
    </row>
    <row r="167" spans="1:26">
      <c r="A167" s="817"/>
      <c r="B167" s="818"/>
      <c r="C167" s="818"/>
      <c r="D167" s="64">
        <v>7</v>
      </c>
      <c r="E167" s="68">
        <f t="shared" si="16"/>
        <v>0</v>
      </c>
      <c r="F167" s="574">
        <f>IFERROR(IF((POZICIE_INTERNE!$B$53-12*('TCO TO BE- SW'!$D157-1))&gt;12,((F$4+'TCO TO BE - HW'!F$4)/($E$4+'TCO TO BE - HW'!$E$4)*SUM(POZICIE_INTERNE!$I$53:$I$64))/POZICIE_INTERNE!$B$53*12,IF((POZICIE_INTERNE!$B$53-12*('TCO TO BE- SW'!$D157-1))&lt;0,0,(POZICIE_INTERNE!$B$53-12*('TCO TO BE- SW'!$D157-1))*((F$4+'TCO TO BE - HW'!F$4)/($E$4+'TCO TO BE - HW'!$E$4)*SUM(POZICIE_INTERNE!$I$53:$I$64))/POZICIE_INTERNE!$B$53)),0)+IFERROR(IF((EXTERNE_POZICIE!$B$53-12*('TCO TO BE- SW'!$D157-1))&gt;12,((F$4+'TCO TO BE - HW'!F$4)/($E$4+'TCO TO BE - HW'!$E$4)*SUM(EXTERNE_POZICIE!$M$53:$M$64)*1.23)/EXTERNE_POZICIE!$B$41*12,IF((EXTERNE_POZICIE!$B$53-12*('TCO TO BE- SW'!$D157-1))&lt;0,0,(EXTERNE_POZICIE!$B$53-12*('TCO TO BE- SW'!$D157-1))*((F$4+'TCO TO BE - HW'!F$4)/($E$4+'TCO TO BE - HW'!$E$4)*SUM(EXTERNE_POZICIE!$M$53:$M$64)*1.23)/EXTERNE_POZICIE!$B$53)),0)+IFERROR(SUM(#REF!)*'TCO TO BE- SW'!F$4/'TCO TO BE- SW'!$E$4,0)</f>
        <v>0</v>
      </c>
      <c r="G167" s="574">
        <f>IFERROR(IF((POZICIE_INTERNE!$B$53-12*('TCO TO BE- SW'!$D157-1))&gt;12,((G$4+'TCO TO BE - HW'!G$4)/($E$4+'TCO TO BE - HW'!$E$4)*SUM(POZICIE_INTERNE!$I$53:$I$64))/POZICIE_INTERNE!$B$53*12,IF((POZICIE_INTERNE!$B$53-12*('TCO TO BE- SW'!$D157-1))&lt;0,0,(POZICIE_INTERNE!$B$53-12*('TCO TO BE- SW'!$D157-1))*((G$4+'TCO TO BE - HW'!G$4)/($E$4+'TCO TO BE - HW'!$E$4)*SUM(POZICIE_INTERNE!$I$53:$I$64))/POZICIE_INTERNE!$B$53)),0)+IFERROR(IF((EXTERNE_POZICIE!$B$53-12*('TCO TO BE- SW'!$D157-1))&gt;12,((G$4+'TCO TO BE - HW'!G$4)/($E$4+'TCO TO BE - HW'!$E$4)*SUM(EXTERNE_POZICIE!$M$53:$M$64)*1.23)/EXTERNE_POZICIE!$B$41*12,IF((EXTERNE_POZICIE!$B$53-12*('TCO TO BE- SW'!$D157-1))&lt;0,0,(EXTERNE_POZICIE!$B$53-12*('TCO TO BE- SW'!$D157-1))*((G$4+'TCO TO BE - HW'!G$4)/($E$4+'TCO TO BE - HW'!$E$4)*SUM(EXTERNE_POZICIE!$M$53:$M$64)*1.23)/EXTERNE_POZICIE!$B$53)),0)+IFERROR(SUM(#REF!)*'TCO TO BE- SW'!G$4/'TCO TO BE- SW'!$E$4,0)</f>
        <v>0</v>
      </c>
      <c r="H167" s="574">
        <f>IFERROR(IF((POZICIE_INTERNE!$B$53-12*('TCO TO BE- SW'!$D157-1))&gt;12,((H$4+'TCO TO BE - HW'!H$4)/($E$4+'TCO TO BE - HW'!$E$4)*SUM(POZICIE_INTERNE!$I$53:$I$64))/POZICIE_INTERNE!$B$53*12,IF((POZICIE_INTERNE!$B$53-12*('TCO TO BE- SW'!$D157-1))&lt;0,0,(POZICIE_INTERNE!$B$53-12*('TCO TO BE- SW'!$D157-1))*((H$4+'TCO TO BE - HW'!H$4)/($E$4+'TCO TO BE - HW'!$E$4)*SUM(POZICIE_INTERNE!$I$53:$I$64))/POZICIE_INTERNE!$B$53)),0)+IFERROR(IF((EXTERNE_POZICIE!$B$53-12*('TCO TO BE- SW'!$D157-1))&gt;12,((H$4+'TCO TO BE - HW'!H$4)/($E$4+'TCO TO BE - HW'!$E$4)*SUM(EXTERNE_POZICIE!$M$53:$M$64)*1.23)/EXTERNE_POZICIE!$B$41*12,IF((EXTERNE_POZICIE!$B$53-12*('TCO TO BE- SW'!$D157-1))&lt;0,0,(EXTERNE_POZICIE!$B$53-12*('TCO TO BE- SW'!$D157-1))*((H$4+'TCO TO BE - HW'!H$4)/($E$4+'TCO TO BE - HW'!$E$4)*SUM(EXTERNE_POZICIE!$M$53:$M$64)*1.23)/EXTERNE_POZICIE!$B$53)),0)+IFERROR(SUM(#REF!)*'TCO TO BE- SW'!H$4/'TCO TO BE- SW'!$E$4,0)</f>
        <v>0</v>
      </c>
      <c r="I167" s="574">
        <f>IFERROR(IF((POZICIE_INTERNE!$B$53-12*('TCO TO BE- SW'!$D157-1))&gt;12,((I$4+'TCO TO BE - HW'!I$4)/($E$4+'TCO TO BE - HW'!$E$4)*SUM(POZICIE_INTERNE!$I$53:$I$64))/POZICIE_INTERNE!$B$53*12,IF((POZICIE_INTERNE!$B$53-12*('TCO TO BE- SW'!$D157-1))&lt;0,0,(POZICIE_INTERNE!$B$53-12*('TCO TO BE- SW'!$D157-1))*((I$4+'TCO TO BE - HW'!I$4)/($E$4+'TCO TO BE - HW'!$E$4)*SUM(POZICIE_INTERNE!$I$53:$I$64))/POZICIE_INTERNE!$B$53)),0)+IFERROR(IF((EXTERNE_POZICIE!$B$53-12*('TCO TO BE- SW'!$D157-1))&gt;12,((I$4+'TCO TO BE - HW'!I$4)/($E$4+'TCO TO BE - HW'!$E$4)*SUM(EXTERNE_POZICIE!$M$53:$M$64)*1.23)/EXTERNE_POZICIE!$B$41*12,IF((EXTERNE_POZICIE!$B$53-12*('TCO TO BE- SW'!$D157-1))&lt;0,0,(EXTERNE_POZICIE!$B$53-12*('TCO TO BE- SW'!$D157-1))*((I$4+'TCO TO BE - HW'!I$4)/($E$4+'TCO TO BE - HW'!$E$4)*SUM(EXTERNE_POZICIE!$M$53:$M$64)*1.23)/EXTERNE_POZICIE!$B$53)),0)+IFERROR(SUM(#REF!)*'TCO TO BE- SW'!I$4/'TCO TO BE- SW'!$E$4,0)</f>
        <v>0</v>
      </c>
      <c r="J167" s="574">
        <f>IFERROR(IF((POZICIE_INTERNE!$B$53-12*('TCO TO BE- SW'!$D157-1))&gt;12,((J$4+'TCO TO BE - HW'!J$4)/($E$4+'TCO TO BE - HW'!$E$4)*SUM(POZICIE_INTERNE!$I$53:$I$64))/POZICIE_INTERNE!$B$53*12,IF((POZICIE_INTERNE!$B$53-12*('TCO TO BE- SW'!$D157-1))&lt;0,0,(POZICIE_INTERNE!$B$53-12*('TCO TO BE- SW'!$D157-1))*((J$4+'TCO TO BE - HW'!J$4)/($E$4+'TCO TO BE - HW'!$E$4)*SUM(POZICIE_INTERNE!$I$53:$I$64))/POZICIE_INTERNE!$B$53)),0)+IFERROR(IF((EXTERNE_POZICIE!$B$53-12*('TCO TO BE- SW'!$D157-1))&gt;12,((J$4+'TCO TO BE - HW'!J$4)/($E$4+'TCO TO BE - HW'!$E$4)*SUM(EXTERNE_POZICIE!$M$53:$M$64)*1.23)/EXTERNE_POZICIE!$B$41*12,IF((EXTERNE_POZICIE!$B$53-12*('TCO TO BE- SW'!$D157-1))&lt;0,0,(EXTERNE_POZICIE!$B$53-12*('TCO TO BE- SW'!$D157-1))*((J$4+'TCO TO BE - HW'!J$4)/($E$4+'TCO TO BE - HW'!$E$4)*SUM(EXTERNE_POZICIE!$M$53:$M$64)*1.23)/EXTERNE_POZICIE!$B$53)),0)+IFERROR(SUM(#REF!)*'TCO TO BE- SW'!J$4/'TCO TO BE- SW'!$E$4,0)</f>
        <v>0</v>
      </c>
      <c r="K167" s="574">
        <f>IFERROR(IF((POZICIE_INTERNE!$B$53-12*('TCO TO BE- SW'!$D157-1))&gt;12,((K$4+'TCO TO BE - HW'!K$4)/($E$4+'TCO TO BE - HW'!$E$4)*SUM(POZICIE_INTERNE!$I$53:$I$64))/POZICIE_INTERNE!$B$53*12,IF((POZICIE_INTERNE!$B$53-12*('TCO TO BE- SW'!$D157-1))&lt;0,0,(POZICIE_INTERNE!$B$53-12*('TCO TO BE- SW'!$D157-1))*((K$4+'TCO TO BE - HW'!K$4)/($E$4+'TCO TO BE - HW'!$E$4)*SUM(POZICIE_INTERNE!$I$53:$I$64))/POZICIE_INTERNE!$B$53)),0)+IFERROR(IF((EXTERNE_POZICIE!$B$53-12*('TCO TO BE- SW'!$D157-1))&gt;12,((K$4+'TCO TO BE - HW'!K$4)/($E$4+'TCO TO BE - HW'!$E$4)*SUM(EXTERNE_POZICIE!$M$53:$M$64)*1.23)/EXTERNE_POZICIE!$B$41*12,IF((EXTERNE_POZICIE!$B$53-12*('TCO TO BE- SW'!$D157-1))&lt;0,0,(EXTERNE_POZICIE!$B$53-12*('TCO TO BE- SW'!$D157-1))*((K$4+'TCO TO BE - HW'!K$4)/($E$4+'TCO TO BE - HW'!$E$4)*SUM(EXTERNE_POZICIE!$M$53:$M$64)*1.23)/EXTERNE_POZICIE!$B$53)),0)+IFERROR(SUM(#REF!)*'TCO TO BE- SW'!K$4/'TCO TO BE- SW'!$E$4,0)</f>
        <v>0</v>
      </c>
      <c r="L167" s="574">
        <f>IFERROR(IF((POZICIE_INTERNE!$B$53-12*('TCO TO BE- SW'!$D157-1))&gt;12,((L$4+'TCO TO BE - HW'!L$4)/($E$4+'TCO TO BE - HW'!$E$4)*SUM(POZICIE_INTERNE!$I$53:$I$64))/POZICIE_INTERNE!$B$53*12,IF((POZICIE_INTERNE!$B$53-12*('TCO TO BE- SW'!$D157-1))&lt;0,0,(POZICIE_INTERNE!$B$53-12*('TCO TO BE- SW'!$D157-1))*((L$4+'TCO TO BE - HW'!L$4)/($E$4+'TCO TO BE - HW'!$E$4)*SUM(POZICIE_INTERNE!$I$53:$I$64))/POZICIE_INTERNE!$B$53)),0)+IFERROR(IF((EXTERNE_POZICIE!$B$53-12*('TCO TO BE- SW'!$D157-1))&gt;12,((L$4+'TCO TO BE - HW'!L$4)/($E$4+'TCO TO BE - HW'!$E$4)*SUM(EXTERNE_POZICIE!$M$53:$M$64)*1.23)/EXTERNE_POZICIE!$B$41*12,IF((EXTERNE_POZICIE!$B$53-12*('TCO TO BE- SW'!$D157-1))&lt;0,0,(EXTERNE_POZICIE!$B$53-12*('TCO TO BE- SW'!$D157-1))*((L$4+'TCO TO BE - HW'!L$4)/($E$4+'TCO TO BE - HW'!$E$4)*SUM(EXTERNE_POZICIE!$M$53:$M$64)*1.23)/EXTERNE_POZICIE!$B$53)),0)+IFERROR(SUM(#REF!)*'TCO TO BE- SW'!L$4/'TCO TO BE- SW'!$E$4,0)</f>
        <v>0</v>
      </c>
      <c r="M167" s="574">
        <f>IFERROR(IF((POZICIE_INTERNE!$B$53-12*('TCO TO BE- SW'!$D157-1))&gt;12,((M$4+'TCO TO BE - HW'!M$4)/($E$4+'TCO TO BE - HW'!$E$4)*SUM(POZICIE_INTERNE!$I$53:$I$64))/POZICIE_INTERNE!$B$53*12,IF((POZICIE_INTERNE!$B$53-12*('TCO TO BE- SW'!$D157-1))&lt;0,0,(POZICIE_INTERNE!$B$53-12*('TCO TO BE- SW'!$D157-1))*((M$4+'TCO TO BE - HW'!M$4)/($E$4+'TCO TO BE - HW'!$E$4)*SUM(POZICIE_INTERNE!$I$53:$I$64))/POZICIE_INTERNE!$B$53)),0)+IFERROR(IF((EXTERNE_POZICIE!$B$53-12*('TCO TO BE- SW'!$D157-1))&gt;12,((M$4+'TCO TO BE - HW'!M$4)/($E$4+'TCO TO BE - HW'!$E$4)*SUM(EXTERNE_POZICIE!$M$53:$M$64)*1.23)/EXTERNE_POZICIE!$B$41*12,IF((EXTERNE_POZICIE!$B$53-12*('TCO TO BE- SW'!$D157-1))&lt;0,0,(EXTERNE_POZICIE!$B$53-12*('TCO TO BE- SW'!$D157-1))*((M$4+'TCO TO BE - HW'!M$4)/($E$4+'TCO TO BE - HW'!$E$4)*SUM(EXTERNE_POZICIE!$M$53:$M$64)*1.23)/EXTERNE_POZICIE!$B$53)),0)+IFERROR(SUM(#REF!)*'TCO TO BE- SW'!M$4/'TCO TO BE- SW'!$E$4,0)</f>
        <v>0</v>
      </c>
      <c r="N167" s="574">
        <f>IFERROR(IF((POZICIE_INTERNE!$B$53-12*('TCO TO BE- SW'!$D157-1))&gt;12,((N$4+'TCO TO BE - HW'!N$4)/($E$4+'TCO TO BE - HW'!$E$4)*SUM(POZICIE_INTERNE!$I$53:$I$64))/POZICIE_INTERNE!$B$53*12,IF((POZICIE_INTERNE!$B$53-12*('TCO TO BE- SW'!$D157-1))&lt;0,0,(POZICIE_INTERNE!$B$53-12*('TCO TO BE- SW'!$D157-1))*((N$4+'TCO TO BE - HW'!N$4)/($E$4+'TCO TO BE - HW'!$E$4)*SUM(POZICIE_INTERNE!$I$53:$I$64))/POZICIE_INTERNE!$B$53)),0)+IFERROR(IF((EXTERNE_POZICIE!$B$53-12*('TCO TO BE- SW'!$D157-1))&gt;12,((N$4+'TCO TO BE - HW'!N$4)/($E$4+'TCO TO BE - HW'!$E$4)*SUM(EXTERNE_POZICIE!$M$53:$M$64)*1.23)/EXTERNE_POZICIE!$B$41*12,IF((EXTERNE_POZICIE!$B$53-12*('TCO TO BE- SW'!$D157-1))&lt;0,0,(EXTERNE_POZICIE!$B$53-12*('TCO TO BE- SW'!$D157-1))*((N$4+'TCO TO BE - HW'!N$4)/($E$4+'TCO TO BE - HW'!$E$4)*SUM(EXTERNE_POZICIE!$M$53:$M$64)*1.23)/EXTERNE_POZICIE!$B$53)),0)+IFERROR(SUM(#REF!)*'TCO TO BE- SW'!N$4/'TCO TO BE- SW'!$E$4,0)</f>
        <v>0</v>
      </c>
      <c r="O167" s="574">
        <f>IFERROR(IF((POZICIE_INTERNE!$B$53-12*('TCO TO BE- SW'!$D157-1))&gt;12,((O$4+'TCO TO BE - HW'!O$4)/($E$4+'TCO TO BE - HW'!$E$4)*SUM(POZICIE_INTERNE!$I$53:$I$64))/POZICIE_INTERNE!$B$53*12,IF((POZICIE_INTERNE!$B$53-12*('TCO TO BE- SW'!$D157-1))&lt;0,0,(POZICIE_INTERNE!$B$53-12*('TCO TO BE- SW'!$D157-1))*((O$4+'TCO TO BE - HW'!O$4)/($E$4+'TCO TO BE - HW'!$E$4)*SUM(POZICIE_INTERNE!$I$53:$I$64))/POZICIE_INTERNE!$B$53)),0)+IFERROR(IF((EXTERNE_POZICIE!$B$53-12*('TCO TO BE- SW'!$D157-1))&gt;12,((O$4+'TCO TO BE - HW'!O$4)/($E$4+'TCO TO BE - HW'!$E$4)*SUM(EXTERNE_POZICIE!$M$53:$M$64)*1.23)/EXTERNE_POZICIE!$B$41*12,IF((EXTERNE_POZICIE!$B$53-12*('TCO TO BE- SW'!$D157-1))&lt;0,0,(EXTERNE_POZICIE!$B$53-12*('TCO TO BE- SW'!$D157-1))*((O$4+'TCO TO BE - HW'!O$4)/($E$4+'TCO TO BE - HW'!$E$4)*SUM(EXTERNE_POZICIE!$M$53:$M$64)*1.23)/EXTERNE_POZICIE!$B$53)),0)+IFERROR(SUM(#REF!)*'TCO TO BE- SW'!O$4/'TCO TO BE- SW'!$E$4,0)</f>
        <v>0</v>
      </c>
      <c r="P167" s="574">
        <f>IFERROR(IF((POZICIE_INTERNE!$B$53-12*('TCO TO BE- SW'!$D157-1))&gt;12,((P$4+'TCO TO BE - HW'!P$4)/($E$4+'TCO TO BE - HW'!$E$4)*SUM(POZICIE_INTERNE!$I$53:$I$64))/POZICIE_INTERNE!$B$53*12,IF((POZICIE_INTERNE!$B$53-12*('TCO TO BE- SW'!$D157-1))&lt;0,0,(POZICIE_INTERNE!$B$53-12*('TCO TO BE- SW'!$D157-1))*((P$4+'TCO TO BE - HW'!P$4)/($E$4+'TCO TO BE - HW'!$E$4)*SUM(POZICIE_INTERNE!$I$53:$I$64))/POZICIE_INTERNE!$B$53)),0)+IFERROR(IF((EXTERNE_POZICIE!$B$53-12*('TCO TO BE- SW'!$D157-1))&gt;12,((P$4+'TCO TO BE - HW'!P$4)/($E$4+'TCO TO BE - HW'!$E$4)*SUM(EXTERNE_POZICIE!$M$53:$M$64)*1.23)/EXTERNE_POZICIE!$B$41*12,IF((EXTERNE_POZICIE!$B$53-12*('TCO TO BE- SW'!$D157-1))&lt;0,0,(EXTERNE_POZICIE!$B$53-12*('TCO TO BE- SW'!$D157-1))*((P$4+'TCO TO BE - HW'!P$4)/($E$4+'TCO TO BE - HW'!$E$4)*SUM(EXTERNE_POZICIE!$M$53:$M$64)*1.23)/EXTERNE_POZICIE!$B$53)),0)+IFERROR(SUM(#REF!)*'TCO TO BE- SW'!P$4/'TCO TO BE- SW'!$E$4,0)</f>
        <v>0</v>
      </c>
      <c r="Q167" s="574">
        <f>IFERROR(IF((POZICIE_INTERNE!$B$53-12*('TCO TO BE- SW'!$D157-1))&gt;12,((Q$4+'TCO TO BE - HW'!Q$4)/($E$4+'TCO TO BE - HW'!$E$4)*SUM(POZICIE_INTERNE!$I$53:$I$64))/POZICIE_INTERNE!$B$53*12,IF((POZICIE_INTERNE!$B$53-12*('TCO TO BE- SW'!$D157-1))&lt;0,0,(POZICIE_INTERNE!$B$53-12*('TCO TO BE- SW'!$D157-1))*((Q$4+'TCO TO BE - HW'!Q$4)/($E$4+'TCO TO BE - HW'!$E$4)*SUM(POZICIE_INTERNE!$I$53:$I$64))/POZICIE_INTERNE!$B$53)),0)+IFERROR(IF((EXTERNE_POZICIE!$B$53-12*('TCO TO BE- SW'!$D157-1))&gt;12,((Q$4+'TCO TO BE - HW'!Q$4)/($E$4+'TCO TO BE - HW'!$E$4)*SUM(EXTERNE_POZICIE!$M$53:$M$64)*1.23)/EXTERNE_POZICIE!$B$41*12,IF((EXTERNE_POZICIE!$B$53-12*('TCO TO BE- SW'!$D157-1))&lt;0,0,(EXTERNE_POZICIE!$B$53-12*('TCO TO BE- SW'!$D157-1))*((Q$4+'TCO TO BE - HW'!Q$4)/($E$4+'TCO TO BE - HW'!$E$4)*SUM(EXTERNE_POZICIE!$M$53:$M$64)*1.23)/EXTERNE_POZICIE!$B$53)),0)+IFERROR(SUM(#REF!)*'TCO TO BE- SW'!Q$4/'TCO TO BE- SW'!$E$4,0)</f>
        <v>0</v>
      </c>
      <c r="R167" s="574">
        <f>IFERROR(IF((POZICIE_INTERNE!$B$53-12*('TCO TO BE- SW'!$D157-1))&gt;12,((R$4+'TCO TO BE - HW'!R$4)/($E$4+'TCO TO BE - HW'!$E$4)*SUM(POZICIE_INTERNE!$I$53:$I$64))/POZICIE_INTERNE!$B$53*12,IF((POZICIE_INTERNE!$B$53-12*('TCO TO BE- SW'!$D157-1))&lt;0,0,(POZICIE_INTERNE!$B$53-12*('TCO TO BE- SW'!$D157-1))*((R$4+'TCO TO BE - HW'!R$4)/($E$4+'TCO TO BE - HW'!$E$4)*SUM(POZICIE_INTERNE!$I$53:$I$64))/POZICIE_INTERNE!$B$53)),0)+IFERROR(IF((EXTERNE_POZICIE!$B$53-12*('TCO TO BE- SW'!$D157-1))&gt;12,((R$4+'TCO TO BE - HW'!R$4)/($E$4+'TCO TO BE - HW'!$E$4)*SUM(EXTERNE_POZICIE!$M$53:$M$64)*1.23)/EXTERNE_POZICIE!$B$41*12,IF((EXTERNE_POZICIE!$B$53-12*('TCO TO BE- SW'!$D157-1))&lt;0,0,(EXTERNE_POZICIE!$B$53-12*('TCO TO BE- SW'!$D157-1))*((R$4+'TCO TO BE - HW'!R$4)/($E$4+'TCO TO BE - HW'!$E$4)*SUM(EXTERNE_POZICIE!$M$53:$M$64)*1.23)/EXTERNE_POZICIE!$B$53)),0)+IFERROR(SUM(#REF!)*'TCO TO BE- SW'!R$4/'TCO TO BE- SW'!$E$4,0)</f>
        <v>0</v>
      </c>
      <c r="S167" s="574">
        <f>IFERROR(IF((POZICIE_INTERNE!$B$53-12*('TCO TO BE- SW'!$D157-1))&gt;12,((S$4+'TCO TO BE - HW'!S$4)/($E$4+'TCO TO BE - HW'!$E$4)*SUM(POZICIE_INTERNE!$I$53:$I$64))/POZICIE_INTERNE!$B$53*12,IF((POZICIE_INTERNE!$B$53-12*('TCO TO BE- SW'!$D157-1))&lt;0,0,(POZICIE_INTERNE!$B$53-12*('TCO TO BE- SW'!$D157-1))*((S$4+'TCO TO BE - HW'!S$4)/($E$4+'TCO TO BE - HW'!$E$4)*SUM(POZICIE_INTERNE!$I$53:$I$64))/POZICIE_INTERNE!$B$53)),0)+IFERROR(IF((EXTERNE_POZICIE!$B$53-12*('TCO TO BE- SW'!$D157-1))&gt;12,((S$4+'TCO TO BE - HW'!S$4)/($E$4+'TCO TO BE - HW'!$E$4)*SUM(EXTERNE_POZICIE!$M$53:$M$64)*1.23)/EXTERNE_POZICIE!$B$41*12,IF((EXTERNE_POZICIE!$B$53-12*('TCO TO BE- SW'!$D157-1))&lt;0,0,(EXTERNE_POZICIE!$B$53-12*('TCO TO BE- SW'!$D157-1))*((S$4+'TCO TO BE - HW'!S$4)/($E$4+'TCO TO BE - HW'!$E$4)*SUM(EXTERNE_POZICIE!$M$53:$M$64)*1.23)/EXTERNE_POZICIE!$B$53)),0)+IFERROR(SUM(#REF!)*'TCO TO BE- SW'!S$4/'TCO TO BE- SW'!$E$4,0)</f>
        <v>0</v>
      </c>
      <c r="T167" s="574">
        <f>IFERROR(IF((POZICIE_INTERNE!$B$53-12*('TCO TO BE- SW'!$D157-1))&gt;12,((T$4+'TCO TO BE - HW'!T$4)/($E$4+'TCO TO BE - HW'!$E$4)*SUM(POZICIE_INTERNE!$I$53:$I$64))/POZICIE_INTERNE!$B$53*12,IF((POZICIE_INTERNE!$B$53-12*('TCO TO BE- SW'!$D157-1))&lt;0,0,(POZICIE_INTERNE!$B$53-12*('TCO TO BE- SW'!$D157-1))*((T$4+'TCO TO BE - HW'!T$4)/($E$4+'TCO TO BE - HW'!$E$4)*SUM(POZICIE_INTERNE!$I$53:$I$64))/POZICIE_INTERNE!$B$53)),0)+IFERROR(IF((EXTERNE_POZICIE!$B$53-12*('TCO TO BE- SW'!$D157-1))&gt;12,((T$4+'TCO TO BE - HW'!T$4)/($E$4+'TCO TO BE - HW'!$E$4)*SUM(EXTERNE_POZICIE!$M$53:$M$64)*1.23)/EXTERNE_POZICIE!$B$41*12,IF((EXTERNE_POZICIE!$B$53-12*('TCO TO BE- SW'!$D157-1))&lt;0,0,(EXTERNE_POZICIE!$B$53-12*('TCO TO BE- SW'!$D157-1))*((T$4+'TCO TO BE - HW'!T$4)/($E$4+'TCO TO BE - HW'!$E$4)*SUM(EXTERNE_POZICIE!$M$53:$M$64)*1.23)/EXTERNE_POZICIE!$B$53)),0)+IFERROR(SUM(#REF!)*'TCO TO BE- SW'!T$4/'TCO TO BE- SW'!$E$4,0)</f>
        <v>0</v>
      </c>
      <c r="U167" s="574">
        <f>IFERROR(IF((POZICIE_INTERNE!$B$53-12*('TCO TO BE- SW'!$D157-1))&gt;12,((U$4+'TCO TO BE - HW'!U$4)/($E$4+'TCO TO BE - HW'!$E$4)*SUM(POZICIE_INTERNE!$I$53:$I$64))/POZICIE_INTERNE!$B$53*12,IF((POZICIE_INTERNE!$B$53-12*('TCO TO BE- SW'!$D157-1))&lt;0,0,(POZICIE_INTERNE!$B$53-12*('TCO TO BE- SW'!$D157-1))*((U$4+'TCO TO BE - HW'!U$4)/($E$4+'TCO TO BE - HW'!$E$4)*SUM(POZICIE_INTERNE!$I$53:$I$64))/POZICIE_INTERNE!$B$53)),0)+IFERROR(IF((EXTERNE_POZICIE!$B$53-12*('TCO TO BE- SW'!$D157-1))&gt;12,((U$4+'TCO TO BE - HW'!U$4)/($E$4+'TCO TO BE - HW'!$E$4)*SUM(EXTERNE_POZICIE!$M$53:$M$64)*1.23)/EXTERNE_POZICIE!$B$41*12,IF((EXTERNE_POZICIE!$B$53-12*('TCO TO BE- SW'!$D157-1))&lt;0,0,(EXTERNE_POZICIE!$B$53-12*('TCO TO BE- SW'!$D157-1))*((U$4+'TCO TO BE - HW'!U$4)/($E$4+'TCO TO BE - HW'!$E$4)*SUM(EXTERNE_POZICIE!$M$53:$M$64)*1.23)/EXTERNE_POZICIE!$B$53)),0)+IFERROR(SUM(#REF!)*'TCO TO BE- SW'!U$4/'TCO TO BE- SW'!$E$4,0)</f>
        <v>0</v>
      </c>
      <c r="V167" s="574">
        <f>IFERROR(IF((POZICIE_INTERNE!$B$53-12*('TCO TO BE- SW'!$D157-1))&gt;12,((V$4+'TCO TO BE - HW'!V$4)/($E$4+'TCO TO BE - HW'!$E$4)*SUM(POZICIE_INTERNE!$I$53:$I$64))/POZICIE_INTERNE!$B$53*12,IF((POZICIE_INTERNE!$B$53-12*('TCO TO BE- SW'!$D157-1))&lt;0,0,(POZICIE_INTERNE!$B$53-12*('TCO TO BE- SW'!$D157-1))*((V$4+'TCO TO BE - HW'!V$4)/($E$4+'TCO TO BE - HW'!$E$4)*SUM(POZICIE_INTERNE!$I$53:$I$64))/POZICIE_INTERNE!$B$53)),0)+IFERROR(IF((EXTERNE_POZICIE!$B$53-12*('TCO TO BE- SW'!$D157-1))&gt;12,((V$4+'TCO TO BE - HW'!V$4)/($E$4+'TCO TO BE - HW'!$E$4)*SUM(EXTERNE_POZICIE!$M$53:$M$64)*1.23)/EXTERNE_POZICIE!$B$41*12,IF((EXTERNE_POZICIE!$B$53-12*('TCO TO BE- SW'!$D157-1))&lt;0,0,(EXTERNE_POZICIE!$B$53-12*('TCO TO BE- SW'!$D157-1))*((V$4+'TCO TO BE - HW'!V$4)/($E$4+'TCO TO BE - HW'!$E$4)*SUM(EXTERNE_POZICIE!$M$53:$M$64)*1.23)/EXTERNE_POZICIE!$B$53)),0)+IFERROR(SUM(#REF!)*'TCO TO BE- SW'!V$4/'TCO TO BE- SW'!$E$4,0)</f>
        <v>0</v>
      </c>
      <c r="W167" s="574">
        <f>IFERROR(IF((POZICIE_INTERNE!$B$53-12*('TCO TO BE- SW'!$D157-1))&gt;12,((W$4+'TCO TO BE - HW'!W$4)/($E$4+'TCO TO BE - HW'!$E$4)*SUM(POZICIE_INTERNE!$I$53:$I$64))/POZICIE_INTERNE!$B$53*12,IF((POZICIE_INTERNE!$B$53-12*('TCO TO BE- SW'!$D157-1))&lt;0,0,(POZICIE_INTERNE!$B$53-12*('TCO TO BE- SW'!$D157-1))*((W$4+'TCO TO BE - HW'!W$4)/($E$4+'TCO TO BE - HW'!$E$4)*SUM(POZICIE_INTERNE!$I$53:$I$64))/POZICIE_INTERNE!$B$53)),0)+IFERROR(IF((EXTERNE_POZICIE!$B$53-12*('TCO TO BE- SW'!$D157-1))&gt;12,((W$4+'TCO TO BE - HW'!W$4)/($E$4+'TCO TO BE - HW'!$E$4)*SUM(EXTERNE_POZICIE!$M$53:$M$64)*1.23)/EXTERNE_POZICIE!$B$41*12,IF((EXTERNE_POZICIE!$B$53-12*('TCO TO BE- SW'!$D157-1))&lt;0,0,(EXTERNE_POZICIE!$B$53-12*('TCO TO BE- SW'!$D157-1))*((W$4+'TCO TO BE - HW'!W$4)/($E$4+'TCO TO BE - HW'!$E$4)*SUM(EXTERNE_POZICIE!$M$53:$M$64)*1.23)/EXTERNE_POZICIE!$B$53)),0)+IFERROR(SUM(#REF!)*'TCO TO BE- SW'!W$4/'TCO TO BE- SW'!$E$4,0)</f>
        <v>0</v>
      </c>
      <c r="X167" s="574">
        <f>IFERROR(IF((POZICIE_INTERNE!$B$53-12*('TCO TO BE- SW'!$D157-1))&gt;12,((X$4+'TCO TO BE - HW'!X$4)/($E$4+'TCO TO BE - HW'!$E$4)*SUM(POZICIE_INTERNE!$I$53:$I$64))/POZICIE_INTERNE!$B$53*12,IF((POZICIE_INTERNE!$B$53-12*('TCO TO BE- SW'!$D157-1))&lt;0,0,(POZICIE_INTERNE!$B$53-12*('TCO TO BE- SW'!$D157-1))*((X$4+'TCO TO BE - HW'!X$4)/($E$4+'TCO TO BE - HW'!$E$4)*SUM(POZICIE_INTERNE!$I$53:$I$64))/POZICIE_INTERNE!$B$53)),0)+IFERROR(IF((EXTERNE_POZICIE!$B$53-12*('TCO TO BE- SW'!$D157-1))&gt;12,((X$4+'TCO TO BE - HW'!X$4)/($E$4+'TCO TO BE - HW'!$E$4)*SUM(EXTERNE_POZICIE!$M$53:$M$64)*1.23)/EXTERNE_POZICIE!$B$41*12,IF((EXTERNE_POZICIE!$B$53-12*('TCO TO BE- SW'!$D157-1))&lt;0,0,(EXTERNE_POZICIE!$B$53-12*('TCO TO BE- SW'!$D157-1))*((X$4+'TCO TO BE - HW'!X$4)/($E$4+'TCO TO BE - HW'!$E$4)*SUM(EXTERNE_POZICIE!$M$53:$M$64)*1.23)/EXTERNE_POZICIE!$B$53)),0)+IFERROR(SUM(#REF!)*'TCO TO BE- SW'!X$4/'TCO TO BE- SW'!$E$4,0)</f>
        <v>0</v>
      </c>
      <c r="Y167" s="574">
        <f>IFERROR(IF((POZICIE_INTERNE!$B$53-12*('TCO TO BE- SW'!$D157-1))&gt;12,((Y$4+'TCO TO BE - HW'!Y$4)/($E$4+'TCO TO BE - HW'!$E$4)*SUM(POZICIE_INTERNE!$I$53:$I$64))/POZICIE_INTERNE!$B$53*12,IF((POZICIE_INTERNE!$B$53-12*('TCO TO BE- SW'!$D157-1))&lt;0,0,(POZICIE_INTERNE!$B$53-12*('TCO TO BE- SW'!$D157-1))*((Y$4+'TCO TO BE - HW'!Y$4)/($E$4+'TCO TO BE - HW'!$E$4)*SUM(POZICIE_INTERNE!$I$53:$I$64))/POZICIE_INTERNE!$B$53)),0)+IFERROR(IF((EXTERNE_POZICIE!$B$53-12*('TCO TO BE- SW'!$D157-1))&gt;12,((Y$4+'TCO TO BE - HW'!Y$4)/($E$4+'TCO TO BE - HW'!$E$4)*SUM(EXTERNE_POZICIE!$M$53:$M$64)*1.23)/EXTERNE_POZICIE!$B$41*12,IF((EXTERNE_POZICIE!$B$53-12*('TCO TO BE- SW'!$D157-1))&lt;0,0,(EXTERNE_POZICIE!$B$53-12*('TCO TO BE- SW'!$D157-1))*((Y$4+'TCO TO BE - HW'!Y$4)/($E$4+'TCO TO BE - HW'!$E$4)*SUM(EXTERNE_POZICIE!$M$53:$M$64)*1.23)/EXTERNE_POZICIE!$B$53)),0)+IFERROR(SUM(#REF!)*'TCO TO BE- SW'!Y$4/'TCO TO BE- SW'!$E$4,0)</f>
        <v>0</v>
      </c>
      <c r="Z167" s="574">
        <f>IFERROR(IF((POZICIE_INTERNE!$B$53-12*('TCO TO BE- SW'!$D157-1))&gt;12,((Z$4+'TCO TO BE - HW'!Z$4)/($E$4+'TCO TO BE - HW'!$E$4)*SUM(POZICIE_INTERNE!$I$53:$I$64))/POZICIE_INTERNE!$B$53*12,IF((POZICIE_INTERNE!$B$53-12*('TCO TO BE- SW'!$D157-1))&lt;0,0,(POZICIE_INTERNE!$B$53-12*('TCO TO BE- SW'!$D157-1))*((Z$4+'TCO TO BE - HW'!Z$4)/($E$4+'TCO TO BE - HW'!$E$4)*SUM(POZICIE_INTERNE!$I$53:$I$64))/POZICIE_INTERNE!$B$53)),0)+IFERROR(IF((EXTERNE_POZICIE!$B$53-12*('TCO TO BE- SW'!$D157-1))&gt;12,((Z$4+'TCO TO BE - HW'!Z$4)/($E$4+'TCO TO BE - HW'!$E$4)*SUM(EXTERNE_POZICIE!$M$53:$M$64)*1.23)/EXTERNE_POZICIE!$B$41*12,IF((EXTERNE_POZICIE!$B$53-12*('TCO TO BE- SW'!$D157-1))&lt;0,0,(EXTERNE_POZICIE!$B$53-12*('TCO TO BE- SW'!$D157-1))*((Z$4+'TCO TO BE - HW'!Z$4)/($E$4+'TCO TO BE - HW'!$E$4)*SUM(EXTERNE_POZICIE!$M$53:$M$64)*1.23)/EXTERNE_POZICIE!$B$53)),0)+IFERROR(SUM(#REF!)*'TCO TO BE- SW'!Z$4/'TCO TO BE- SW'!$E$4,0)</f>
        <v>0</v>
      </c>
    </row>
    <row r="168" spans="1:26">
      <c r="A168" s="817"/>
      <c r="B168" s="818"/>
      <c r="C168" s="818"/>
      <c r="D168" s="64">
        <v>8</v>
      </c>
      <c r="E168" s="68">
        <f t="shared" si="16"/>
        <v>0</v>
      </c>
      <c r="F168" s="574">
        <f>IFERROR(IF((POZICIE_INTERNE!$B$53-12*('TCO TO BE- SW'!$D158-1))&gt;12,((F$4+'TCO TO BE - HW'!F$4)/($E$4+'TCO TO BE - HW'!$E$4)*SUM(POZICIE_INTERNE!$I$53:$I$64))/POZICIE_INTERNE!$B$53*12,IF((POZICIE_INTERNE!$B$53-12*('TCO TO BE- SW'!$D158-1))&lt;0,0,(POZICIE_INTERNE!$B$53-12*('TCO TO BE- SW'!$D158-1))*((F$4+'TCO TO BE - HW'!F$4)/($E$4+'TCO TO BE - HW'!$E$4)*SUM(POZICIE_INTERNE!$I$53:$I$64))/POZICIE_INTERNE!$B$53)),0)+IFERROR(IF((EXTERNE_POZICIE!$B$53-12*('TCO TO BE- SW'!$D158-1))&gt;12,((F$4+'TCO TO BE - HW'!F$4)/($E$4+'TCO TO BE - HW'!$E$4)*SUM(EXTERNE_POZICIE!$M$53:$M$64)*1.23)/EXTERNE_POZICIE!$B$41*12,IF((EXTERNE_POZICIE!$B$53-12*('TCO TO BE- SW'!$D158-1))&lt;0,0,(EXTERNE_POZICIE!$B$53-12*('TCO TO BE- SW'!$D158-1))*((F$4+'TCO TO BE - HW'!F$4)/($E$4+'TCO TO BE - HW'!$E$4)*SUM(EXTERNE_POZICIE!$M$53:$M$64)*1.23)/EXTERNE_POZICIE!$B$53)),0)+IFERROR(SUM(#REF!)*'TCO TO BE- SW'!F$4/'TCO TO BE- SW'!$E$4,0)</f>
        <v>0</v>
      </c>
      <c r="G168" s="574">
        <f>IFERROR(IF((POZICIE_INTERNE!$B$53-12*('TCO TO BE- SW'!$D158-1))&gt;12,((G$4+'TCO TO BE - HW'!G$4)/($E$4+'TCO TO BE - HW'!$E$4)*SUM(POZICIE_INTERNE!$I$53:$I$64))/POZICIE_INTERNE!$B$53*12,IF((POZICIE_INTERNE!$B$53-12*('TCO TO BE- SW'!$D158-1))&lt;0,0,(POZICIE_INTERNE!$B$53-12*('TCO TO BE- SW'!$D158-1))*((G$4+'TCO TO BE - HW'!G$4)/($E$4+'TCO TO BE - HW'!$E$4)*SUM(POZICIE_INTERNE!$I$53:$I$64))/POZICIE_INTERNE!$B$53)),0)+IFERROR(IF((EXTERNE_POZICIE!$B$53-12*('TCO TO BE- SW'!$D158-1))&gt;12,((G$4+'TCO TO BE - HW'!G$4)/($E$4+'TCO TO BE - HW'!$E$4)*SUM(EXTERNE_POZICIE!$M$53:$M$64)*1.23)/EXTERNE_POZICIE!$B$41*12,IF((EXTERNE_POZICIE!$B$53-12*('TCO TO BE- SW'!$D158-1))&lt;0,0,(EXTERNE_POZICIE!$B$53-12*('TCO TO BE- SW'!$D158-1))*((G$4+'TCO TO BE - HW'!G$4)/($E$4+'TCO TO BE - HW'!$E$4)*SUM(EXTERNE_POZICIE!$M$53:$M$64)*1.23)/EXTERNE_POZICIE!$B$53)),0)+IFERROR(SUM(#REF!)*'TCO TO BE- SW'!G$4/'TCO TO BE- SW'!$E$4,0)</f>
        <v>0</v>
      </c>
      <c r="H168" s="574">
        <f>IFERROR(IF((POZICIE_INTERNE!$B$53-12*('TCO TO BE- SW'!$D158-1))&gt;12,((H$4+'TCO TO BE - HW'!H$4)/($E$4+'TCO TO BE - HW'!$E$4)*SUM(POZICIE_INTERNE!$I$53:$I$64))/POZICIE_INTERNE!$B$53*12,IF((POZICIE_INTERNE!$B$53-12*('TCO TO BE- SW'!$D158-1))&lt;0,0,(POZICIE_INTERNE!$B$53-12*('TCO TO BE- SW'!$D158-1))*((H$4+'TCO TO BE - HW'!H$4)/($E$4+'TCO TO BE - HW'!$E$4)*SUM(POZICIE_INTERNE!$I$53:$I$64))/POZICIE_INTERNE!$B$53)),0)+IFERROR(IF((EXTERNE_POZICIE!$B$53-12*('TCO TO BE- SW'!$D158-1))&gt;12,((H$4+'TCO TO BE - HW'!H$4)/($E$4+'TCO TO BE - HW'!$E$4)*SUM(EXTERNE_POZICIE!$M$53:$M$64)*1.23)/EXTERNE_POZICIE!$B$41*12,IF((EXTERNE_POZICIE!$B$53-12*('TCO TO BE- SW'!$D158-1))&lt;0,0,(EXTERNE_POZICIE!$B$53-12*('TCO TO BE- SW'!$D158-1))*((H$4+'TCO TO BE - HW'!H$4)/($E$4+'TCO TO BE - HW'!$E$4)*SUM(EXTERNE_POZICIE!$M$53:$M$64)*1.23)/EXTERNE_POZICIE!$B$53)),0)+IFERROR(SUM(#REF!)*'TCO TO BE- SW'!H$4/'TCO TO BE- SW'!$E$4,0)</f>
        <v>0</v>
      </c>
      <c r="I168" s="574">
        <f>IFERROR(IF((POZICIE_INTERNE!$B$53-12*('TCO TO BE- SW'!$D158-1))&gt;12,((I$4+'TCO TO BE - HW'!I$4)/($E$4+'TCO TO BE - HW'!$E$4)*SUM(POZICIE_INTERNE!$I$53:$I$64))/POZICIE_INTERNE!$B$53*12,IF((POZICIE_INTERNE!$B$53-12*('TCO TO BE- SW'!$D158-1))&lt;0,0,(POZICIE_INTERNE!$B$53-12*('TCO TO BE- SW'!$D158-1))*((I$4+'TCO TO BE - HW'!I$4)/($E$4+'TCO TO BE - HW'!$E$4)*SUM(POZICIE_INTERNE!$I$53:$I$64))/POZICIE_INTERNE!$B$53)),0)+IFERROR(IF((EXTERNE_POZICIE!$B$53-12*('TCO TO BE- SW'!$D158-1))&gt;12,((I$4+'TCO TO BE - HW'!I$4)/($E$4+'TCO TO BE - HW'!$E$4)*SUM(EXTERNE_POZICIE!$M$53:$M$64)*1.23)/EXTERNE_POZICIE!$B$41*12,IF((EXTERNE_POZICIE!$B$53-12*('TCO TO BE- SW'!$D158-1))&lt;0,0,(EXTERNE_POZICIE!$B$53-12*('TCO TO BE- SW'!$D158-1))*((I$4+'TCO TO BE - HW'!I$4)/($E$4+'TCO TO BE - HW'!$E$4)*SUM(EXTERNE_POZICIE!$M$53:$M$64)*1.23)/EXTERNE_POZICIE!$B$53)),0)+IFERROR(SUM(#REF!)*'TCO TO BE- SW'!I$4/'TCO TO BE- SW'!$E$4,0)</f>
        <v>0</v>
      </c>
      <c r="J168" s="574">
        <f>IFERROR(IF((POZICIE_INTERNE!$B$53-12*('TCO TO BE- SW'!$D158-1))&gt;12,((J$4+'TCO TO BE - HW'!J$4)/($E$4+'TCO TO BE - HW'!$E$4)*SUM(POZICIE_INTERNE!$I$53:$I$64))/POZICIE_INTERNE!$B$53*12,IF((POZICIE_INTERNE!$B$53-12*('TCO TO BE- SW'!$D158-1))&lt;0,0,(POZICIE_INTERNE!$B$53-12*('TCO TO BE- SW'!$D158-1))*((J$4+'TCO TO BE - HW'!J$4)/($E$4+'TCO TO BE - HW'!$E$4)*SUM(POZICIE_INTERNE!$I$53:$I$64))/POZICIE_INTERNE!$B$53)),0)+IFERROR(IF((EXTERNE_POZICIE!$B$53-12*('TCO TO BE- SW'!$D158-1))&gt;12,((J$4+'TCO TO BE - HW'!J$4)/($E$4+'TCO TO BE - HW'!$E$4)*SUM(EXTERNE_POZICIE!$M$53:$M$64)*1.23)/EXTERNE_POZICIE!$B$41*12,IF((EXTERNE_POZICIE!$B$53-12*('TCO TO BE- SW'!$D158-1))&lt;0,0,(EXTERNE_POZICIE!$B$53-12*('TCO TO BE- SW'!$D158-1))*((J$4+'TCO TO BE - HW'!J$4)/($E$4+'TCO TO BE - HW'!$E$4)*SUM(EXTERNE_POZICIE!$M$53:$M$64)*1.23)/EXTERNE_POZICIE!$B$53)),0)+IFERROR(SUM(#REF!)*'TCO TO BE- SW'!J$4/'TCO TO BE- SW'!$E$4,0)</f>
        <v>0</v>
      </c>
      <c r="K168" s="574">
        <f>IFERROR(IF((POZICIE_INTERNE!$B$53-12*('TCO TO BE- SW'!$D158-1))&gt;12,((K$4+'TCO TO BE - HW'!K$4)/($E$4+'TCO TO BE - HW'!$E$4)*SUM(POZICIE_INTERNE!$I$53:$I$64))/POZICIE_INTERNE!$B$53*12,IF((POZICIE_INTERNE!$B$53-12*('TCO TO BE- SW'!$D158-1))&lt;0,0,(POZICIE_INTERNE!$B$53-12*('TCO TO BE- SW'!$D158-1))*((K$4+'TCO TO BE - HW'!K$4)/($E$4+'TCO TO BE - HW'!$E$4)*SUM(POZICIE_INTERNE!$I$53:$I$64))/POZICIE_INTERNE!$B$53)),0)+IFERROR(IF((EXTERNE_POZICIE!$B$53-12*('TCO TO BE- SW'!$D158-1))&gt;12,((K$4+'TCO TO BE - HW'!K$4)/($E$4+'TCO TO BE - HW'!$E$4)*SUM(EXTERNE_POZICIE!$M$53:$M$64)*1.23)/EXTERNE_POZICIE!$B$41*12,IF((EXTERNE_POZICIE!$B$53-12*('TCO TO BE- SW'!$D158-1))&lt;0,0,(EXTERNE_POZICIE!$B$53-12*('TCO TO BE- SW'!$D158-1))*((K$4+'TCO TO BE - HW'!K$4)/($E$4+'TCO TO BE - HW'!$E$4)*SUM(EXTERNE_POZICIE!$M$53:$M$64)*1.23)/EXTERNE_POZICIE!$B$53)),0)+IFERROR(SUM(#REF!)*'TCO TO BE- SW'!K$4/'TCO TO BE- SW'!$E$4,0)</f>
        <v>0</v>
      </c>
      <c r="L168" s="574">
        <f>IFERROR(IF((POZICIE_INTERNE!$B$53-12*('TCO TO BE- SW'!$D158-1))&gt;12,((L$4+'TCO TO BE - HW'!L$4)/($E$4+'TCO TO BE - HW'!$E$4)*SUM(POZICIE_INTERNE!$I$53:$I$64))/POZICIE_INTERNE!$B$53*12,IF((POZICIE_INTERNE!$B$53-12*('TCO TO BE- SW'!$D158-1))&lt;0,0,(POZICIE_INTERNE!$B$53-12*('TCO TO BE- SW'!$D158-1))*((L$4+'TCO TO BE - HW'!L$4)/($E$4+'TCO TO BE - HW'!$E$4)*SUM(POZICIE_INTERNE!$I$53:$I$64))/POZICIE_INTERNE!$B$53)),0)+IFERROR(IF((EXTERNE_POZICIE!$B$53-12*('TCO TO BE- SW'!$D158-1))&gt;12,((L$4+'TCO TO BE - HW'!L$4)/($E$4+'TCO TO BE - HW'!$E$4)*SUM(EXTERNE_POZICIE!$M$53:$M$64)*1.23)/EXTERNE_POZICIE!$B$41*12,IF((EXTERNE_POZICIE!$B$53-12*('TCO TO BE- SW'!$D158-1))&lt;0,0,(EXTERNE_POZICIE!$B$53-12*('TCO TO BE- SW'!$D158-1))*((L$4+'TCO TO BE - HW'!L$4)/($E$4+'TCO TO BE - HW'!$E$4)*SUM(EXTERNE_POZICIE!$M$53:$M$64)*1.23)/EXTERNE_POZICIE!$B$53)),0)+IFERROR(SUM(#REF!)*'TCO TO BE- SW'!L$4/'TCO TO BE- SW'!$E$4,0)</f>
        <v>0</v>
      </c>
      <c r="M168" s="574">
        <f>IFERROR(IF((POZICIE_INTERNE!$B$53-12*('TCO TO BE- SW'!$D158-1))&gt;12,((M$4+'TCO TO BE - HW'!M$4)/($E$4+'TCO TO BE - HW'!$E$4)*SUM(POZICIE_INTERNE!$I$53:$I$64))/POZICIE_INTERNE!$B$53*12,IF((POZICIE_INTERNE!$B$53-12*('TCO TO BE- SW'!$D158-1))&lt;0,0,(POZICIE_INTERNE!$B$53-12*('TCO TO BE- SW'!$D158-1))*((M$4+'TCO TO BE - HW'!M$4)/($E$4+'TCO TO BE - HW'!$E$4)*SUM(POZICIE_INTERNE!$I$53:$I$64))/POZICIE_INTERNE!$B$53)),0)+IFERROR(IF((EXTERNE_POZICIE!$B$53-12*('TCO TO BE- SW'!$D158-1))&gt;12,((M$4+'TCO TO BE - HW'!M$4)/($E$4+'TCO TO BE - HW'!$E$4)*SUM(EXTERNE_POZICIE!$M$53:$M$64)*1.23)/EXTERNE_POZICIE!$B$41*12,IF((EXTERNE_POZICIE!$B$53-12*('TCO TO BE- SW'!$D158-1))&lt;0,0,(EXTERNE_POZICIE!$B$53-12*('TCO TO BE- SW'!$D158-1))*((M$4+'TCO TO BE - HW'!M$4)/($E$4+'TCO TO BE - HW'!$E$4)*SUM(EXTERNE_POZICIE!$M$53:$M$64)*1.23)/EXTERNE_POZICIE!$B$53)),0)+IFERROR(SUM(#REF!)*'TCO TO BE- SW'!M$4/'TCO TO BE- SW'!$E$4,0)</f>
        <v>0</v>
      </c>
      <c r="N168" s="574">
        <f>IFERROR(IF((POZICIE_INTERNE!$B$53-12*('TCO TO BE- SW'!$D158-1))&gt;12,((N$4+'TCO TO BE - HW'!N$4)/($E$4+'TCO TO BE - HW'!$E$4)*SUM(POZICIE_INTERNE!$I$53:$I$64))/POZICIE_INTERNE!$B$53*12,IF((POZICIE_INTERNE!$B$53-12*('TCO TO BE- SW'!$D158-1))&lt;0,0,(POZICIE_INTERNE!$B$53-12*('TCO TO BE- SW'!$D158-1))*((N$4+'TCO TO BE - HW'!N$4)/($E$4+'TCO TO BE - HW'!$E$4)*SUM(POZICIE_INTERNE!$I$53:$I$64))/POZICIE_INTERNE!$B$53)),0)+IFERROR(IF((EXTERNE_POZICIE!$B$53-12*('TCO TO BE- SW'!$D158-1))&gt;12,((N$4+'TCO TO BE - HW'!N$4)/($E$4+'TCO TO BE - HW'!$E$4)*SUM(EXTERNE_POZICIE!$M$53:$M$64)*1.23)/EXTERNE_POZICIE!$B$41*12,IF((EXTERNE_POZICIE!$B$53-12*('TCO TO BE- SW'!$D158-1))&lt;0,0,(EXTERNE_POZICIE!$B$53-12*('TCO TO BE- SW'!$D158-1))*((N$4+'TCO TO BE - HW'!N$4)/($E$4+'TCO TO BE - HW'!$E$4)*SUM(EXTERNE_POZICIE!$M$53:$M$64)*1.23)/EXTERNE_POZICIE!$B$53)),0)+IFERROR(SUM(#REF!)*'TCO TO BE- SW'!N$4/'TCO TO BE- SW'!$E$4,0)</f>
        <v>0</v>
      </c>
      <c r="O168" s="574">
        <f>IFERROR(IF((POZICIE_INTERNE!$B$53-12*('TCO TO BE- SW'!$D158-1))&gt;12,((O$4+'TCO TO BE - HW'!O$4)/($E$4+'TCO TO BE - HW'!$E$4)*SUM(POZICIE_INTERNE!$I$53:$I$64))/POZICIE_INTERNE!$B$53*12,IF((POZICIE_INTERNE!$B$53-12*('TCO TO BE- SW'!$D158-1))&lt;0,0,(POZICIE_INTERNE!$B$53-12*('TCO TO BE- SW'!$D158-1))*((O$4+'TCO TO BE - HW'!O$4)/($E$4+'TCO TO BE - HW'!$E$4)*SUM(POZICIE_INTERNE!$I$53:$I$64))/POZICIE_INTERNE!$B$53)),0)+IFERROR(IF((EXTERNE_POZICIE!$B$53-12*('TCO TO BE- SW'!$D158-1))&gt;12,((O$4+'TCO TO BE - HW'!O$4)/($E$4+'TCO TO BE - HW'!$E$4)*SUM(EXTERNE_POZICIE!$M$53:$M$64)*1.23)/EXTERNE_POZICIE!$B$41*12,IF((EXTERNE_POZICIE!$B$53-12*('TCO TO BE- SW'!$D158-1))&lt;0,0,(EXTERNE_POZICIE!$B$53-12*('TCO TO BE- SW'!$D158-1))*((O$4+'TCO TO BE - HW'!O$4)/($E$4+'TCO TO BE - HW'!$E$4)*SUM(EXTERNE_POZICIE!$M$53:$M$64)*1.23)/EXTERNE_POZICIE!$B$53)),0)+IFERROR(SUM(#REF!)*'TCO TO BE- SW'!O$4/'TCO TO BE- SW'!$E$4,0)</f>
        <v>0</v>
      </c>
      <c r="P168" s="574">
        <f>IFERROR(IF((POZICIE_INTERNE!$B$53-12*('TCO TO BE- SW'!$D158-1))&gt;12,((P$4+'TCO TO BE - HW'!P$4)/($E$4+'TCO TO BE - HW'!$E$4)*SUM(POZICIE_INTERNE!$I$53:$I$64))/POZICIE_INTERNE!$B$53*12,IF((POZICIE_INTERNE!$B$53-12*('TCO TO BE- SW'!$D158-1))&lt;0,0,(POZICIE_INTERNE!$B$53-12*('TCO TO BE- SW'!$D158-1))*((P$4+'TCO TO BE - HW'!P$4)/($E$4+'TCO TO BE - HW'!$E$4)*SUM(POZICIE_INTERNE!$I$53:$I$64))/POZICIE_INTERNE!$B$53)),0)+IFERROR(IF((EXTERNE_POZICIE!$B$53-12*('TCO TO BE- SW'!$D158-1))&gt;12,((P$4+'TCO TO BE - HW'!P$4)/($E$4+'TCO TO BE - HW'!$E$4)*SUM(EXTERNE_POZICIE!$M$53:$M$64)*1.23)/EXTERNE_POZICIE!$B$41*12,IF((EXTERNE_POZICIE!$B$53-12*('TCO TO BE- SW'!$D158-1))&lt;0,0,(EXTERNE_POZICIE!$B$53-12*('TCO TO BE- SW'!$D158-1))*((P$4+'TCO TO BE - HW'!P$4)/($E$4+'TCO TO BE - HW'!$E$4)*SUM(EXTERNE_POZICIE!$M$53:$M$64)*1.23)/EXTERNE_POZICIE!$B$53)),0)+IFERROR(SUM(#REF!)*'TCO TO BE- SW'!P$4/'TCO TO BE- SW'!$E$4,0)</f>
        <v>0</v>
      </c>
      <c r="Q168" s="574">
        <f>IFERROR(IF((POZICIE_INTERNE!$B$53-12*('TCO TO BE- SW'!$D158-1))&gt;12,((Q$4+'TCO TO BE - HW'!Q$4)/($E$4+'TCO TO BE - HW'!$E$4)*SUM(POZICIE_INTERNE!$I$53:$I$64))/POZICIE_INTERNE!$B$53*12,IF((POZICIE_INTERNE!$B$53-12*('TCO TO BE- SW'!$D158-1))&lt;0,0,(POZICIE_INTERNE!$B$53-12*('TCO TO BE- SW'!$D158-1))*((Q$4+'TCO TO BE - HW'!Q$4)/($E$4+'TCO TO BE - HW'!$E$4)*SUM(POZICIE_INTERNE!$I$53:$I$64))/POZICIE_INTERNE!$B$53)),0)+IFERROR(IF((EXTERNE_POZICIE!$B$53-12*('TCO TO BE- SW'!$D158-1))&gt;12,((Q$4+'TCO TO BE - HW'!Q$4)/($E$4+'TCO TO BE - HW'!$E$4)*SUM(EXTERNE_POZICIE!$M$53:$M$64)*1.23)/EXTERNE_POZICIE!$B$41*12,IF((EXTERNE_POZICIE!$B$53-12*('TCO TO BE- SW'!$D158-1))&lt;0,0,(EXTERNE_POZICIE!$B$53-12*('TCO TO BE- SW'!$D158-1))*((Q$4+'TCO TO BE - HW'!Q$4)/($E$4+'TCO TO BE - HW'!$E$4)*SUM(EXTERNE_POZICIE!$M$53:$M$64)*1.23)/EXTERNE_POZICIE!$B$53)),0)+IFERROR(SUM(#REF!)*'TCO TO BE- SW'!Q$4/'TCO TO BE- SW'!$E$4,0)</f>
        <v>0</v>
      </c>
      <c r="R168" s="574">
        <f>IFERROR(IF((POZICIE_INTERNE!$B$53-12*('TCO TO BE- SW'!$D158-1))&gt;12,((R$4+'TCO TO BE - HW'!R$4)/($E$4+'TCO TO BE - HW'!$E$4)*SUM(POZICIE_INTERNE!$I$53:$I$64))/POZICIE_INTERNE!$B$53*12,IF((POZICIE_INTERNE!$B$53-12*('TCO TO BE- SW'!$D158-1))&lt;0,0,(POZICIE_INTERNE!$B$53-12*('TCO TO BE- SW'!$D158-1))*((R$4+'TCO TO BE - HW'!R$4)/($E$4+'TCO TO BE - HW'!$E$4)*SUM(POZICIE_INTERNE!$I$53:$I$64))/POZICIE_INTERNE!$B$53)),0)+IFERROR(IF((EXTERNE_POZICIE!$B$53-12*('TCO TO BE- SW'!$D158-1))&gt;12,((R$4+'TCO TO BE - HW'!R$4)/($E$4+'TCO TO BE - HW'!$E$4)*SUM(EXTERNE_POZICIE!$M$53:$M$64)*1.23)/EXTERNE_POZICIE!$B$41*12,IF((EXTERNE_POZICIE!$B$53-12*('TCO TO BE- SW'!$D158-1))&lt;0,0,(EXTERNE_POZICIE!$B$53-12*('TCO TO BE- SW'!$D158-1))*((R$4+'TCO TO BE - HW'!R$4)/($E$4+'TCO TO BE - HW'!$E$4)*SUM(EXTERNE_POZICIE!$M$53:$M$64)*1.23)/EXTERNE_POZICIE!$B$53)),0)+IFERROR(SUM(#REF!)*'TCO TO BE- SW'!R$4/'TCO TO BE- SW'!$E$4,0)</f>
        <v>0</v>
      </c>
      <c r="S168" s="574">
        <f>IFERROR(IF((POZICIE_INTERNE!$B$53-12*('TCO TO BE- SW'!$D158-1))&gt;12,((S$4+'TCO TO BE - HW'!S$4)/($E$4+'TCO TO BE - HW'!$E$4)*SUM(POZICIE_INTERNE!$I$53:$I$64))/POZICIE_INTERNE!$B$53*12,IF((POZICIE_INTERNE!$B$53-12*('TCO TO BE- SW'!$D158-1))&lt;0,0,(POZICIE_INTERNE!$B$53-12*('TCO TO BE- SW'!$D158-1))*((S$4+'TCO TO BE - HW'!S$4)/($E$4+'TCO TO BE - HW'!$E$4)*SUM(POZICIE_INTERNE!$I$53:$I$64))/POZICIE_INTERNE!$B$53)),0)+IFERROR(IF((EXTERNE_POZICIE!$B$53-12*('TCO TO BE- SW'!$D158-1))&gt;12,((S$4+'TCO TO BE - HW'!S$4)/($E$4+'TCO TO BE - HW'!$E$4)*SUM(EXTERNE_POZICIE!$M$53:$M$64)*1.23)/EXTERNE_POZICIE!$B$41*12,IF((EXTERNE_POZICIE!$B$53-12*('TCO TO BE- SW'!$D158-1))&lt;0,0,(EXTERNE_POZICIE!$B$53-12*('TCO TO BE- SW'!$D158-1))*((S$4+'TCO TO BE - HW'!S$4)/($E$4+'TCO TO BE - HW'!$E$4)*SUM(EXTERNE_POZICIE!$M$53:$M$64)*1.23)/EXTERNE_POZICIE!$B$53)),0)+IFERROR(SUM(#REF!)*'TCO TO BE- SW'!S$4/'TCO TO BE- SW'!$E$4,0)</f>
        <v>0</v>
      </c>
      <c r="T168" s="574">
        <f>IFERROR(IF((POZICIE_INTERNE!$B$53-12*('TCO TO BE- SW'!$D158-1))&gt;12,((T$4+'TCO TO BE - HW'!T$4)/($E$4+'TCO TO BE - HW'!$E$4)*SUM(POZICIE_INTERNE!$I$53:$I$64))/POZICIE_INTERNE!$B$53*12,IF((POZICIE_INTERNE!$B$53-12*('TCO TO BE- SW'!$D158-1))&lt;0,0,(POZICIE_INTERNE!$B$53-12*('TCO TO BE- SW'!$D158-1))*((T$4+'TCO TO BE - HW'!T$4)/($E$4+'TCO TO BE - HW'!$E$4)*SUM(POZICIE_INTERNE!$I$53:$I$64))/POZICIE_INTERNE!$B$53)),0)+IFERROR(IF((EXTERNE_POZICIE!$B$53-12*('TCO TO BE- SW'!$D158-1))&gt;12,((T$4+'TCO TO BE - HW'!T$4)/($E$4+'TCO TO BE - HW'!$E$4)*SUM(EXTERNE_POZICIE!$M$53:$M$64)*1.23)/EXTERNE_POZICIE!$B$41*12,IF((EXTERNE_POZICIE!$B$53-12*('TCO TO BE- SW'!$D158-1))&lt;0,0,(EXTERNE_POZICIE!$B$53-12*('TCO TO BE- SW'!$D158-1))*((T$4+'TCO TO BE - HW'!T$4)/($E$4+'TCO TO BE - HW'!$E$4)*SUM(EXTERNE_POZICIE!$M$53:$M$64)*1.23)/EXTERNE_POZICIE!$B$53)),0)+IFERROR(SUM(#REF!)*'TCO TO BE- SW'!T$4/'TCO TO BE- SW'!$E$4,0)</f>
        <v>0</v>
      </c>
      <c r="U168" s="574">
        <f>IFERROR(IF((POZICIE_INTERNE!$B$53-12*('TCO TO BE- SW'!$D158-1))&gt;12,((U$4+'TCO TO BE - HW'!U$4)/($E$4+'TCO TO BE - HW'!$E$4)*SUM(POZICIE_INTERNE!$I$53:$I$64))/POZICIE_INTERNE!$B$53*12,IF((POZICIE_INTERNE!$B$53-12*('TCO TO BE- SW'!$D158-1))&lt;0,0,(POZICIE_INTERNE!$B$53-12*('TCO TO BE- SW'!$D158-1))*((U$4+'TCO TO BE - HW'!U$4)/($E$4+'TCO TO BE - HW'!$E$4)*SUM(POZICIE_INTERNE!$I$53:$I$64))/POZICIE_INTERNE!$B$53)),0)+IFERROR(IF((EXTERNE_POZICIE!$B$53-12*('TCO TO BE- SW'!$D158-1))&gt;12,((U$4+'TCO TO BE - HW'!U$4)/($E$4+'TCO TO BE - HW'!$E$4)*SUM(EXTERNE_POZICIE!$M$53:$M$64)*1.23)/EXTERNE_POZICIE!$B$41*12,IF((EXTERNE_POZICIE!$B$53-12*('TCO TO BE- SW'!$D158-1))&lt;0,0,(EXTERNE_POZICIE!$B$53-12*('TCO TO BE- SW'!$D158-1))*((U$4+'TCO TO BE - HW'!U$4)/($E$4+'TCO TO BE - HW'!$E$4)*SUM(EXTERNE_POZICIE!$M$53:$M$64)*1.23)/EXTERNE_POZICIE!$B$53)),0)+IFERROR(SUM(#REF!)*'TCO TO BE- SW'!U$4/'TCO TO BE- SW'!$E$4,0)</f>
        <v>0</v>
      </c>
      <c r="V168" s="574">
        <f>IFERROR(IF((POZICIE_INTERNE!$B$53-12*('TCO TO BE- SW'!$D158-1))&gt;12,((V$4+'TCO TO BE - HW'!V$4)/($E$4+'TCO TO BE - HW'!$E$4)*SUM(POZICIE_INTERNE!$I$53:$I$64))/POZICIE_INTERNE!$B$53*12,IF((POZICIE_INTERNE!$B$53-12*('TCO TO BE- SW'!$D158-1))&lt;0,0,(POZICIE_INTERNE!$B$53-12*('TCO TO BE- SW'!$D158-1))*((V$4+'TCO TO BE - HW'!V$4)/($E$4+'TCO TO BE - HW'!$E$4)*SUM(POZICIE_INTERNE!$I$53:$I$64))/POZICIE_INTERNE!$B$53)),0)+IFERROR(IF((EXTERNE_POZICIE!$B$53-12*('TCO TO BE- SW'!$D158-1))&gt;12,((V$4+'TCO TO BE - HW'!V$4)/($E$4+'TCO TO BE - HW'!$E$4)*SUM(EXTERNE_POZICIE!$M$53:$M$64)*1.23)/EXTERNE_POZICIE!$B$41*12,IF((EXTERNE_POZICIE!$B$53-12*('TCO TO BE- SW'!$D158-1))&lt;0,0,(EXTERNE_POZICIE!$B$53-12*('TCO TO BE- SW'!$D158-1))*((V$4+'TCO TO BE - HW'!V$4)/($E$4+'TCO TO BE - HW'!$E$4)*SUM(EXTERNE_POZICIE!$M$53:$M$64)*1.23)/EXTERNE_POZICIE!$B$53)),0)+IFERROR(SUM(#REF!)*'TCO TO BE- SW'!V$4/'TCO TO BE- SW'!$E$4,0)</f>
        <v>0</v>
      </c>
      <c r="W168" s="574">
        <f>IFERROR(IF((POZICIE_INTERNE!$B$53-12*('TCO TO BE- SW'!$D158-1))&gt;12,((W$4+'TCO TO BE - HW'!W$4)/($E$4+'TCO TO BE - HW'!$E$4)*SUM(POZICIE_INTERNE!$I$53:$I$64))/POZICIE_INTERNE!$B$53*12,IF((POZICIE_INTERNE!$B$53-12*('TCO TO BE- SW'!$D158-1))&lt;0,0,(POZICIE_INTERNE!$B$53-12*('TCO TO BE- SW'!$D158-1))*((W$4+'TCO TO BE - HW'!W$4)/($E$4+'TCO TO BE - HW'!$E$4)*SUM(POZICIE_INTERNE!$I$53:$I$64))/POZICIE_INTERNE!$B$53)),0)+IFERROR(IF((EXTERNE_POZICIE!$B$53-12*('TCO TO BE- SW'!$D158-1))&gt;12,((W$4+'TCO TO BE - HW'!W$4)/($E$4+'TCO TO BE - HW'!$E$4)*SUM(EXTERNE_POZICIE!$M$53:$M$64)*1.23)/EXTERNE_POZICIE!$B$41*12,IF((EXTERNE_POZICIE!$B$53-12*('TCO TO BE- SW'!$D158-1))&lt;0,0,(EXTERNE_POZICIE!$B$53-12*('TCO TO BE- SW'!$D158-1))*((W$4+'TCO TO BE - HW'!W$4)/($E$4+'TCO TO BE - HW'!$E$4)*SUM(EXTERNE_POZICIE!$M$53:$M$64)*1.23)/EXTERNE_POZICIE!$B$53)),0)+IFERROR(SUM(#REF!)*'TCO TO BE- SW'!W$4/'TCO TO BE- SW'!$E$4,0)</f>
        <v>0</v>
      </c>
      <c r="X168" s="574">
        <f>IFERROR(IF((POZICIE_INTERNE!$B$53-12*('TCO TO BE- SW'!$D158-1))&gt;12,((X$4+'TCO TO BE - HW'!X$4)/($E$4+'TCO TO BE - HW'!$E$4)*SUM(POZICIE_INTERNE!$I$53:$I$64))/POZICIE_INTERNE!$B$53*12,IF((POZICIE_INTERNE!$B$53-12*('TCO TO BE- SW'!$D158-1))&lt;0,0,(POZICIE_INTERNE!$B$53-12*('TCO TO BE- SW'!$D158-1))*((X$4+'TCO TO BE - HW'!X$4)/($E$4+'TCO TO BE - HW'!$E$4)*SUM(POZICIE_INTERNE!$I$53:$I$64))/POZICIE_INTERNE!$B$53)),0)+IFERROR(IF((EXTERNE_POZICIE!$B$53-12*('TCO TO BE- SW'!$D158-1))&gt;12,((X$4+'TCO TO BE - HW'!X$4)/($E$4+'TCO TO BE - HW'!$E$4)*SUM(EXTERNE_POZICIE!$M$53:$M$64)*1.23)/EXTERNE_POZICIE!$B$41*12,IF((EXTERNE_POZICIE!$B$53-12*('TCO TO BE- SW'!$D158-1))&lt;0,0,(EXTERNE_POZICIE!$B$53-12*('TCO TO BE- SW'!$D158-1))*((X$4+'TCO TO BE - HW'!X$4)/($E$4+'TCO TO BE - HW'!$E$4)*SUM(EXTERNE_POZICIE!$M$53:$M$64)*1.23)/EXTERNE_POZICIE!$B$53)),0)+IFERROR(SUM(#REF!)*'TCO TO BE- SW'!X$4/'TCO TO BE- SW'!$E$4,0)</f>
        <v>0</v>
      </c>
      <c r="Y168" s="574">
        <f>IFERROR(IF((POZICIE_INTERNE!$B$53-12*('TCO TO BE- SW'!$D158-1))&gt;12,((Y$4+'TCO TO BE - HW'!Y$4)/($E$4+'TCO TO BE - HW'!$E$4)*SUM(POZICIE_INTERNE!$I$53:$I$64))/POZICIE_INTERNE!$B$53*12,IF((POZICIE_INTERNE!$B$53-12*('TCO TO BE- SW'!$D158-1))&lt;0,0,(POZICIE_INTERNE!$B$53-12*('TCO TO BE- SW'!$D158-1))*((Y$4+'TCO TO BE - HW'!Y$4)/($E$4+'TCO TO BE - HW'!$E$4)*SUM(POZICIE_INTERNE!$I$53:$I$64))/POZICIE_INTERNE!$B$53)),0)+IFERROR(IF((EXTERNE_POZICIE!$B$53-12*('TCO TO BE- SW'!$D158-1))&gt;12,((Y$4+'TCO TO BE - HW'!Y$4)/($E$4+'TCO TO BE - HW'!$E$4)*SUM(EXTERNE_POZICIE!$M$53:$M$64)*1.23)/EXTERNE_POZICIE!$B$41*12,IF((EXTERNE_POZICIE!$B$53-12*('TCO TO BE- SW'!$D158-1))&lt;0,0,(EXTERNE_POZICIE!$B$53-12*('TCO TO BE- SW'!$D158-1))*((Y$4+'TCO TO BE - HW'!Y$4)/($E$4+'TCO TO BE - HW'!$E$4)*SUM(EXTERNE_POZICIE!$M$53:$M$64)*1.23)/EXTERNE_POZICIE!$B$53)),0)+IFERROR(SUM(#REF!)*'TCO TO BE- SW'!Y$4/'TCO TO BE- SW'!$E$4,0)</f>
        <v>0</v>
      </c>
      <c r="Z168" s="574">
        <f>IFERROR(IF((POZICIE_INTERNE!$B$53-12*('TCO TO BE- SW'!$D158-1))&gt;12,((Z$4+'TCO TO BE - HW'!Z$4)/($E$4+'TCO TO BE - HW'!$E$4)*SUM(POZICIE_INTERNE!$I$53:$I$64))/POZICIE_INTERNE!$B$53*12,IF((POZICIE_INTERNE!$B$53-12*('TCO TO BE- SW'!$D158-1))&lt;0,0,(POZICIE_INTERNE!$B$53-12*('TCO TO BE- SW'!$D158-1))*((Z$4+'TCO TO BE - HW'!Z$4)/($E$4+'TCO TO BE - HW'!$E$4)*SUM(POZICIE_INTERNE!$I$53:$I$64))/POZICIE_INTERNE!$B$53)),0)+IFERROR(IF((EXTERNE_POZICIE!$B$53-12*('TCO TO BE- SW'!$D158-1))&gt;12,((Z$4+'TCO TO BE - HW'!Z$4)/($E$4+'TCO TO BE - HW'!$E$4)*SUM(EXTERNE_POZICIE!$M$53:$M$64)*1.23)/EXTERNE_POZICIE!$B$41*12,IF((EXTERNE_POZICIE!$B$53-12*('TCO TO BE- SW'!$D158-1))&lt;0,0,(EXTERNE_POZICIE!$B$53-12*('TCO TO BE- SW'!$D158-1))*((Z$4+'TCO TO BE - HW'!Z$4)/($E$4+'TCO TO BE - HW'!$E$4)*SUM(EXTERNE_POZICIE!$M$53:$M$64)*1.23)/EXTERNE_POZICIE!$B$53)),0)+IFERROR(SUM(#REF!)*'TCO TO BE- SW'!Z$4/'TCO TO BE- SW'!$E$4,0)</f>
        <v>0</v>
      </c>
    </row>
    <row r="169" spans="1:26">
      <c r="A169" s="817"/>
      <c r="B169" s="818"/>
      <c r="C169" s="818"/>
      <c r="D169" s="64">
        <v>9</v>
      </c>
      <c r="E169" s="68">
        <f t="shared" si="16"/>
        <v>0</v>
      </c>
      <c r="F169" s="574">
        <f>IFERROR(IF((POZICIE_INTERNE!$B$53-12*('TCO TO BE- SW'!$D159-1))&gt;12,((F$4+'TCO TO BE - HW'!F$4)/($E$4+'TCO TO BE - HW'!$E$4)*SUM(POZICIE_INTERNE!$I$53:$I$64))/POZICIE_INTERNE!$B$53*12,IF((POZICIE_INTERNE!$B$53-12*('TCO TO BE- SW'!$D159-1))&lt;0,0,(POZICIE_INTERNE!$B$53-12*('TCO TO BE- SW'!$D159-1))*((F$4+'TCO TO BE - HW'!F$4)/($E$4+'TCO TO BE - HW'!$E$4)*SUM(POZICIE_INTERNE!$I$53:$I$64))/POZICIE_INTERNE!$B$53)),0)+IFERROR(IF((EXTERNE_POZICIE!$B$53-12*('TCO TO BE- SW'!$D159-1))&gt;12,((F$4+'TCO TO BE - HW'!F$4)/($E$4+'TCO TO BE - HW'!$E$4)*SUM(EXTERNE_POZICIE!$M$53:$M$64)*1.23)/EXTERNE_POZICIE!$B$41*12,IF((EXTERNE_POZICIE!$B$53-12*('TCO TO BE- SW'!$D159-1))&lt;0,0,(EXTERNE_POZICIE!$B$53-12*('TCO TO BE- SW'!$D159-1))*((F$4+'TCO TO BE - HW'!F$4)/($E$4+'TCO TO BE - HW'!$E$4)*SUM(EXTERNE_POZICIE!$M$53:$M$64)*1.23)/EXTERNE_POZICIE!$B$53)),0)+IFERROR(SUM(#REF!)*'TCO TO BE- SW'!F$4/'TCO TO BE- SW'!$E$4,0)</f>
        <v>0</v>
      </c>
      <c r="G169" s="574">
        <f>IFERROR(IF((POZICIE_INTERNE!$B$53-12*('TCO TO BE- SW'!$D159-1))&gt;12,((G$4+'TCO TO BE - HW'!G$4)/($E$4+'TCO TO BE - HW'!$E$4)*SUM(POZICIE_INTERNE!$I$53:$I$64))/POZICIE_INTERNE!$B$53*12,IF((POZICIE_INTERNE!$B$53-12*('TCO TO BE- SW'!$D159-1))&lt;0,0,(POZICIE_INTERNE!$B$53-12*('TCO TO BE- SW'!$D159-1))*((G$4+'TCO TO BE - HW'!G$4)/($E$4+'TCO TO BE - HW'!$E$4)*SUM(POZICIE_INTERNE!$I$53:$I$64))/POZICIE_INTERNE!$B$53)),0)+IFERROR(IF((EXTERNE_POZICIE!$B$53-12*('TCO TO BE- SW'!$D159-1))&gt;12,((G$4+'TCO TO BE - HW'!G$4)/($E$4+'TCO TO BE - HW'!$E$4)*SUM(EXTERNE_POZICIE!$M$53:$M$64)*1.23)/EXTERNE_POZICIE!$B$41*12,IF((EXTERNE_POZICIE!$B$53-12*('TCO TO BE- SW'!$D159-1))&lt;0,0,(EXTERNE_POZICIE!$B$53-12*('TCO TO BE- SW'!$D159-1))*((G$4+'TCO TO BE - HW'!G$4)/($E$4+'TCO TO BE - HW'!$E$4)*SUM(EXTERNE_POZICIE!$M$53:$M$64)*1.23)/EXTERNE_POZICIE!$B$53)),0)+IFERROR(SUM(#REF!)*'TCO TO BE- SW'!G$4/'TCO TO BE- SW'!$E$4,0)</f>
        <v>0</v>
      </c>
      <c r="H169" s="574">
        <f>IFERROR(IF((POZICIE_INTERNE!$B$53-12*('TCO TO BE- SW'!$D159-1))&gt;12,((H$4+'TCO TO BE - HW'!H$4)/($E$4+'TCO TO BE - HW'!$E$4)*SUM(POZICIE_INTERNE!$I$53:$I$64))/POZICIE_INTERNE!$B$53*12,IF((POZICIE_INTERNE!$B$53-12*('TCO TO BE- SW'!$D159-1))&lt;0,0,(POZICIE_INTERNE!$B$53-12*('TCO TO BE- SW'!$D159-1))*((H$4+'TCO TO BE - HW'!H$4)/($E$4+'TCO TO BE - HW'!$E$4)*SUM(POZICIE_INTERNE!$I$53:$I$64))/POZICIE_INTERNE!$B$53)),0)+IFERROR(IF((EXTERNE_POZICIE!$B$53-12*('TCO TO BE- SW'!$D159-1))&gt;12,((H$4+'TCO TO BE - HW'!H$4)/($E$4+'TCO TO BE - HW'!$E$4)*SUM(EXTERNE_POZICIE!$M$53:$M$64)*1.23)/EXTERNE_POZICIE!$B$41*12,IF((EXTERNE_POZICIE!$B$53-12*('TCO TO BE- SW'!$D159-1))&lt;0,0,(EXTERNE_POZICIE!$B$53-12*('TCO TO BE- SW'!$D159-1))*((H$4+'TCO TO BE - HW'!H$4)/($E$4+'TCO TO BE - HW'!$E$4)*SUM(EXTERNE_POZICIE!$M$53:$M$64)*1.23)/EXTERNE_POZICIE!$B$53)),0)+IFERROR(SUM(#REF!)*'TCO TO BE- SW'!H$4/'TCO TO BE- SW'!$E$4,0)</f>
        <v>0</v>
      </c>
      <c r="I169" s="574">
        <f>IFERROR(IF((POZICIE_INTERNE!$B$53-12*('TCO TO BE- SW'!$D159-1))&gt;12,((I$4+'TCO TO BE - HW'!I$4)/($E$4+'TCO TO BE - HW'!$E$4)*SUM(POZICIE_INTERNE!$I$53:$I$64))/POZICIE_INTERNE!$B$53*12,IF((POZICIE_INTERNE!$B$53-12*('TCO TO BE- SW'!$D159-1))&lt;0,0,(POZICIE_INTERNE!$B$53-12*('TCO TO BE- SW'!$D159-1))*((I$4+'TCO TO BE - HW'!I$4)/($E$4+'TCO TO BE - HW'!$E$4)*SUM(POZICIE_INTERNE!$I$53:$I$64))/POZICIE_INTERNE!$B$53)),0)+IFERROR(IF((EXTERNE_POZICIE!$B$53-12*('TCO TO BE- SW'!$D159-1))&gt;12,((I$4+'TCO TO BE - HW'!I$4)/($E$4+'TCO TO BE - HW'!$E$4)*SUM(EXTERNE_POZICIE!$M$53:$M$64)*1.23)/EXTERNE_POZICIE!$B$41*12,IF((EXTERNE_POZICIE!$B$53-12*('TCO TO BE- SW'!$D159-1))&lt;0,0,(EXTERNE_POZICIE!$B$53-12*('TCO TO BE- SW'!$D159-1))*((I$4+'TCO TO BE - HW'!I$4)/($E$4+'TCO TO BE - HW'!$E$4)*SUM(EXTERNE_POZICIE!$M$53:$M$64)*1.23)/EXTERNE_POZICIE!$B$53)),0)+IFERROR(SUM(#REF!)*'TCO TO BE- SW'!I$4/'TCO TO BE- SW'!$E$4,0)</f>
        <v>0</v>
      </c>
      <c r="J169" s="574">
        <f>IFERROR(IF((POZICIE_INTERNE!$B$53-12*('TCO TO BE- SW'!$D159-1))&gt;12,((J$4+'TCO TO BE - HW'!J$4)/($E$4+'TCO TO BE - HW'!$E$4)*SUM(POZICIE_INTERNE!$I$53:$I$64))/POZICIE_INTERNE!$B$53*12,IF((POZICIE_INTERNE!$B$53-12*('TCO TO BE- SW'!$D159-1))&lt;0,0,(POZICIE_INTERNE!$B$53-12*('TCO TO BE- SW'!$D159-1))*((J$4+'TCO TO BE - HW'!J$4)/($E$4+'TCO TO BE - HW'!$E$4)*SUM(POZICIE_INTERNE!$I$53:$I$64))/POZICIE_INTERNE!$B$53)),0)+IFERROR(IF((EXTERNE_POZICIE!$B$53-12*('TCO TO BE- SW'!$D159-1))&gt;12,((J$4+'TCO TO BE - HW'!J$4)/($E$4+'TCO TO BE - HW'!$E$4)*SUM(EXTERNE_POZICIE!$M$53:$M$64)*1.23)/EXTERNE_POZICIE!$B$41*12,IF((EXTERNE_POZICIE!$B$53-12*('TCO TO BE- SW'!$D159-1))&lt;0,0,(EXTERNE_POZICIE!$B$53-12*('TCO TO BE- SW'!$D159-1))*((J$4+'TCO TO BE - HW'!J$4)/($E$4+'TCO TO BE - HW'!$E$4)*SUM(EXTERNE_POZICIE!$M$53:$M$64)*1.23)/EXTERNE_POZICIE!$B$53)),0)+IFERROR(SUM(#REF!)*'TCO TO BE- SW'!J$4/'TCO TO BE- SW'!$E$4,0)</f>
        <v>0</v>
      </c>
      <c r="K169" s="574">
        <f>IFERROR(IF((POZICIE_INTERNE!$B$53-12*('TCO TO BE- SW'!$D159-1))&gt;12,((K$4+'TCO TO BE - HW'!K$4)/($E$4+'TCO TO BE - HW'!$E$4)*SUM(POZICIE_INTERNE!$I$53:$I$64))/POZICIE_INTERNE!$B$53*12,IF((POZICIE_INTERNE!$B$53-12*('TCO TO BE- SW'!$D159-1))&lt;0,0,(POZICIE_INTERNE!$B$53-12*('TCO TO BE- SW'!$D159-1))*((K$4+'TCO TO BE - HW'!K$4)/($E$4+'TCO TO BE - HW'!$E$4)*SUM(POZICIE_INTERNE!$I$53:$I$64))/POZICIE_INTERNE!$B$53)),0)+IFERROR(IF((EXTERNE_POZICIE!$B$53-12*('TCO TO BE- SW'!$D159-1))&gt;12,((K$4+'TCO TO BE - HW'!K$4)/($E$4+'TCO TO BE - HW'!$E$4)*SUM(EXTERNE_POZICIE!$M$53:$M$64)*1.23)/EXTERNE_POZICIE!$B$41*12,IF((EXTERNE_POZICIE!$B$53-12*('TCO TO BE- SW'!$D159-1))&lt;0,0,(EXTERNE_POZICIE!$B$53-12*('TCO TO BE- SW'!$D159-1))*((K$4+'TCO TO BE - HW'!K$4)/($E$4+'TCO TO BE - HW'!$E$4)*SUM(EXTERNE_POZICIE!$M$53:$M$64)*1.23)/EXTERNE_POZICIE!$B$53)),0)+IFERROR(SUM(#REF!)*'TCO TO BE- SW'!K$4/'TCO TO BE- SW'!$E$4,0)</f>
        <v>0</v>
      </c>
      <c r="L169" s="574">
        <f>IFERROR(IF((POZICIE_INTERNE!$B$53-12*('TCO TO BE- SW'!$D159-1))&gt;12,((L$4+'TCO TO BE - HW'!L$4)/($E$4+'TCO TO BE - HW'!$E$4)*SUM(POZICIE_INTERNE!$I$53:$I$64))/POZICIE_INTERNE!$B$53*12,IF((POZICIE_INTERNE!$B$53-12*('TCO TO BE- SW'!$D159-1))&lt;0,0,(POZICIE_INTERNE!$B$53-12*('TCO TO BE- SW'!$D159-1))*((L$4+'TCO TO BE - HW'!L$4)/($E$4+'TCO TO BE - HW'!$E$4)*SUM(POZICIE_INTERNE!$I$53:$I$64))/POZICIE_INTERNE!$B$53)),0)+IFERROR(IF((EXTERNE_POZICIE!$B$53-12*('TCO TO BE- SW'!$D159-1))&gt;12,((L$4+'TCO TO BE - HW'!L$4)/($E$4+'TCO TO BE - HW'!$E$4)*SUM(EXTERNE_POZICIE!$M$53:$M$64)*1.23)/EXTERNE_POZICIE!$B$41*12,IF((EXTERNE_POZICIE!$B$53-12*('TCO TO BE- SW'!$D159-1))&lt;0,0,(EXTERNE_POZICIE!$B$53-12*('TCO TO BE- SW'!$D159-1))*((L$4+'TCO TO BE - HW'!L$4)/($E$4+'TCO TO BE - HW'!$E$4)*SUM(EXTERNE_POZICIE!$M$53:$M$64)*1.23)/EXTERNE_POZICIE!$B$53)),0)+IFERROR(SUM(#REF!)*'TCO TO BE- SW'!L$4/'TCO TO BE- SW'!$E$4,0)</f>
        <v>0</v>
      </c>
      <c r="M169" s="574">
        <f>IFERROR(IF((POZICIE_INTERNE!$B$53-12*('TCO TO BE- SW'!$D159-1))&gt;12,((M$4+'TCO TO BE - HW'!M$4)/($E$4+'TCO TO BE - HW'!$E$4)*SUM(POZICIE_INTERNE!$I$53:$I$64))/POZICIE_INTERNE!$B$53*12,IF((POZICIE_INTERNE!$B$53-12*('TCO TO BE- SW'!$D159-1))&lt;0,0,(POZICIE_INTERNE!$B$53-12*('TCO TO BE- SW'!$D159-1))*((M$4+'TCO TO BE - HW'!M$4)/($E$4+'TCO TO BE - HW'!$E$4)*SUM(POZICIE_INTERNE!$I$53:$I$64))/POZICIE_INTERNE!$B$53)),0)+IFERROR(IF((EXTERNE_POZICIE!$B$53-12*('TCO TO BE- SW'!$D159-1))&gt;12,((M$4+'TCO TO BE - HW'!M$4)/($E$4+'TCO TO BE - HW'!$E$4)*SUM(EXTERNE_POZICIE!$M$53:$M$64)*1.23)/EXTERNE_POZICIE!$B$41*12,IF((EXTERNE_POZICIE!$B$53-12*('TCO TO BE- SW'!$D159-1))&lt;0,0,(EXTERNE_POZICIE!$B$53-12*('TCO TO BE- SW'!$D159-1))*((M$4+'TCO TO BE - HW'!M$4)/($E$4+'TCO TO BE - HW'!$E$4)*SUM(EXTERNE_POZICIE!$M$53:$M$64)*1.23)/EXTERNE_POZICIE!$B$53)),0)+IFERROR(SUM(#REF!)*'TCO TO BE- SW'!M$4/'TCO TO BE- SW'!$E$4,0)</f>
        <v>0</v>
      </c>
      <c r="N169" s="574">
        <f>IFERROR(IF((POZICIE_INTERNE!$B$53-12*('TCO TO BE- SW'!$D159-1))&gt;12,((N$4+'TCO TO BE - HW'!N$4)/($E$4+'TCO TO BE - HW'!$E$4)*SUM(POZICIE_INTERNE!$I$53:$I$64))/POZICIE_INTERNE!$B$53*12,IF((POZICIE_INTERNE!$B$53-12*('TCO TO BE- SW'!$D159-1))&lt;0,0,(POZICIE_INTERNE!$B$53-12*('TCO TO BE- SW'!$D159-1))*((N$4+'TCO TO BE - HW'!N$4)/($E$4+'TCO TO BE - HW'!$E$4)*SUM(POZICIE_INTERNE!$I$53:$I$64))/POZICIE_INTERNE!$B$53)),0)+IFERROR(IF((EXTERNE_POZICIE!$B$53-12*('TCO TO BE- SW'!$D159-1))&gt;12,((N$4+'TCO TO BE - HW'!N$4)/($E$4+'TCO TO BE - HW'!$E$4)*SUM(EXTERNE_POZICIE!$M$53:$M$64)*1.23)/EXTERNE_POZICIE!$B$41*12,IF((EXTERNE_POZICIE!$B$53-12*('TCO TO BE- SW'!$D159-1))&lt;0,0,(EXTERNE_POZICIE!$B$53-12*('TCO TO BE- SW'!$D159-1))*((N$4+'TCO TO BE - HW'!N$4)/($E$4+'TCO TO BE - HW'!$E$4)*SUM(EXTERNE_POZICIE!$M$53:$M$64)*1.23)/EXTERNE_POZICIE!$B$53)),0)+IFERROR(SUM(#REF!)*'TCO TO BE- SW'!N$4/'TCO TO BE- SW'!$E$4,0)</f>
        <v>0</v>
      </c>
      <c r="O169" s="574">
        <f>IFERROR(IF((POZICIE_INTERNE!$B$53-12*('TCO TO BE- SW'!$D159-1))&gt;12,((O$4+'TCO TO BE - HW'!O$4)/($E$4+'TCO TO BE - HW'!$E$4)*SUM(POZICIE_INTERNE!$I$53:$I$64))/POZICIE_INTERNE!$B$53*12,IF((POZICIE_INTERNE!$B$53-12*('TCO TO BE- SW'!$D159-1))&lt;0,0,(POZICIE_INTERNE!$B$53-12*('TCO TO BE- SW'!$D159-1))*((O$4+'TCO TO BE - HW'!O$4)/($E$4+'TCO TO BE - HW'!$E$4)*SUM(POZICIE_INTERNE!$I$53:$I$64))/POZICIE_INTERNE!$B$53)),0)+IFERROR(IF((EXTERNE_POZICIE!$B$53-12*('TCO TO BE- SW'!$D159-1))&gt;12,((O$4+'TCO TO BE - HW'!O$4)/($E$4+'TCO TO BE - HW'!$E$4)*SUM(EXTERNE_POZICIE!$M$53:$M$64)*1.23)/EXTERNE_POZICIE!$B$41*12,IF((EXTERNE_POZICIE!$B$53-12*('TCO TO BE- SW'!$D159-1))&lt;0,0,(EXTERNE_POZICIE!$B$53-12*('TCO TO BE- SW'!$D159-1))*((O$4+'TCO TO BE - HW'!O$4)/($E$4+'TCO TO BE - HW'!$E$4)*SUM(EXTERNE_POZICIE!$M$53:$M$64)*1.23)/EXTERNE_POZICIE!$B$53)),0)+IFERROR(SUM(#REF!)*'TCO TO BE- SW'!O$4/'TCO TO BE- SW'!$E$4,0)</f>
        <v>0</v>
      </c>
      <c r="P169" s="574">
        <f>IFERROR(IF((POZICIE_INTERNE!$B$53-12*('TCO TO BE- SW'!$D159-1))&gt;12,((P$4+'TCO TO BE - HW'!P$4)/($E$4+'TCO TO BE - HW'!$E$4)*SUM(POZICIE_INTERNE!$I$53:$I$64))/POZICIE_INTERNE!$B$53*12,IF((POZICIE_INTERNE!$B$53-12*('TCO TO BE- SW'!$D159-1))&lt;0,0,(POZICIE_INTERNE!$B$53-12*('TCO TO BE- SW'!$D159-1))*((P$4+'TCO TO BE - HW'!P$4)/($E$4+'TCO TO BE - HW'!$E$4)*SUM(POZICIE_INTERNE!$I$53:$I$64))/POZICIE_INTERNE!$B$53)),0)+IFERROR(IF((EXTERNE_POZICIE!$B$53-12*('TCO TO BE- SW'!$D159-1))&gt;12,((P$4+'TCO TO BE - HW'!P$4)/($E$4+'TCO TO BE - HW'!$E$4)*SUM(EXTERNE_POZICIE!$M$53:$M$64)*1.23)/EXTERNE_POZICIE!$B$41*12,IF((EXTERNE_POZICIE!$B$53-12*('TCO TO BE- SW'!$D159-1))&lt;0,0,(EXTERNE_POZICIE!$B$53-12*('TCO TO BE- SW'!$D159-1))*((P$4+'TCO TO BE - HW'!P$4)/($E$4+'TCO TO BE - HW'!$E$4)*SUM(EXTERNE_POZICIE!$M$53:$M$64)*1.23)/EXTERNE_POZICIE!$B$53)),0)+IFERROR(SUM(#REF!)*'TCO TO BE- SW'!P$4/'TCO TO BE- SW'!$E$4,0)</f>
        <v>0</v>
      </c>
      <c r="Q169" s="574">
        <f>IFERROR(IF((POZICIE_INTERNE!$B$53-12*('TCO TO BE- SW'!$D159-1))&gt;12,((Q$4+'TCO TO BE - HW'!Q$4)/($E$4+'TCO TO BE - HW'!$E$4)*SUM(POZICIE_INTERNE!$I$53:$I$64))/POZICIE_INTERNE!$B$53*12,IF((POZICIE_INTERNE!$B$53-12*('TCO TO BE- SW'!$D159-1))&lt;0,0,(POZICIE_INTERNE!$B$53-12*('TCO TO BE- SW'!$D159-1))*((Q$4+'TCO TO BE - HW'!Q$4)/($E$4+'TCO TO BE - HW'!$E$4)*SUM(POZICIE_INTERNE!$I$53:$I$64))/POZICIE_INTERNE!$B$53)),0)+IFERROR(IF((EXTERNE_POZICIE!$B$53-12*('TCO TO BE- SW'!$D159-1))&gt;12,((Q$4+'TCO TO BE - HW'!Q$4)/($E$4+'TCO TO BE - HW'!$E$4)*SUM(EXTERNE_POZICIE!$M$53:$M$64)*1.23)/EXTERNE_POZICIE!$B$41*12,IF((EXTERNE_POZICIE!$B$53-12*('TCO TO BE- SW'!$D159-1))&lt;0,0,(EXTERNE_POZICIE!$B$53-12*('TCO TO BE- SW'!$D159-1))*((Q$4+'TCO TO BE - HW'!Q$4)/($E$4+'TCO TO BE - HW'!$E$4)*SUM(EXTERNE_POZICIE!$M$53:$M$64)*1.23)/EXTERNE_POZICIE!$B$53)),0)+IFERROR(SUM(#REF!)*'TCO TO BE- SW'!Q$4/'TCO TO BE- SW'!$E$4,0)</f>
        <v>0</v>
      </c>
      <c r="R169" s="574">
        <f>IFERROR(IF((POZICIE_INTERNE!$B$53-12*('TCO TO BE- SW'!$D159-1))&gt;12,((R$4+'TCO TO BE - HW'!R$4)/($E$4+'TCO TO BE - HW'!$E$4)*SUM(POZICIE_INTERNE!$I$53:$I$64))/POZICIE_INTERNE!$B$53*12,IF((POZICIE_INTERNE!$B$53-12*('TCO TO BE- SW'!$D159-1))&lt;0,0,(POZICIE_INTERNE!$B$53-12*('TCO TO BE- SW'!$D159-1))*((R$4+'TCO TO BE - HW'!R$4)/($E$4+'TCO TO BE - HW'!$E$4)*SUM(POZICIE_INTERNE!$I$53:$I$64))/POZICIE_INTERNE!$B$53)),0)+IFERROR(IF((EXTERNE_POZICIE!$B$53-12*('TCO TO BE- SW'!$D159-1))&gt;12,((R$4+'TCO TO BE - HW'!R$4)/($E$4+'TCO TO BE - HW'!$E$4)*SUM(EXTERNE_POZICIE!$M$53:$M$64)*1.23)/EXTERNE_POZICIE!$B$41*12,IF((EXTERNE_POZICIE!$B$53-12*('TCO TO BE- SW'!$D159-1))&lt;0,0,(EXTERNE_POZICIE!$B$53-12*('TCO TO BE- SW'!$D159-1))*((R$4+'TCO TO BE - HW'!R$4)/($E$4+'TCO TO BE - HW'!$E$4)*SUM(EXTERNE_POZICIE!$M$53:$M$64)*1.23)/EXTERNE_POZICIE!$B$53)),0)+IFERROR(SUM(#REF!)*'TCO TO BE- SW'!R$4/'TCO TO BE- SW'!$E$4,0)</f>
        <v>0</v>
      </c>
      <c r="S169" s="574">
        <f>IFERROR(IF((POZICIE_INTERNE!$B$53-12*('TCO TO BE- SW'!$D159-1))&gt;12,((S$4+'TCO TO BE - HW'!S$4)/($E$4+'TCO TO BE - HW'!$E$4)*SUM(POZICIE_INTERNE!$I$53:$I$64))/POZICIE_INTERNE!$B$53*12,IF((POZICIE_INTERNE!$B$53-12*('TCO TO BE- SW'!$D159-1))&lt;0,0,(POZICIE_INTERNE!$B$53-12*('TCO TO BE- SW'!$D159-1))*((S$4+'TCO TO BE - HW'!S$4)/($E$4+'TCO TO BE - HW'!$E$4)*SUM(POZICIE_INTERNE!$I$53:$I$64))/POZICIE_INTERNE!$B$53)),0)+IFERROR(IF((EXTERNE_POZICIE!$B$53-12*('TCO TO BE- SW'!$D159-1))&gt;12,((S$4+'TCO TO BE - HW'!S$4)/($E$4+'TCO TO BE - HW'!$E$4)*SUM(EXTERNE_POZICIE!$M$53:$M$64)*1.23)/EXTERNE_POZICIE!$B$41*12,IF((EXTERNE_POZICIE!$B$53-12*('TCO TO BE- SW'!$D159-1))&lt;0,0,(EXTERNE_POZICIE!$B$53-12*('TCO TO BE- SW'!$D159-1))*((S$4+'TCO TO BE - HW'!S$4)/($E$4+'TCO TO BE - HW'!$E$4)*SUM(EXTERNE_POZICIE!$M$53:$M$64)*1.23)/EXTERNE_POZICIE!$B$53)),0)+IFERROR(SUM(#REF!)*'TCO TO BE- SW'!S$4/'TCO TO BE- SW'!$E$4,0)</f>
        <v>0</v>
      </c>
      <c r="T169" s="574">
        <f>IFERROR(IF((POZICIE_INTERNE!$B$53-12*('TCO TO BE- SW'!$D159-1))&gt;12,((T$4+'TCO TO BE - HW'!T$4)/($E$4+'TCO TO BE - HW'!$E$4)*SUM(POZICIE_INTERNE!$I$53:$I$64))/POZICIE_INTERNE!$B$53*12,IF((POZICIE_INTERNE!$B$53-12*('TCO TO BE- SW'!$D159-1))&lt;0,0,(POZICIE_INTERNE!$B$53-12*('TCO TO BE- SW'!$D159-1))*((T$4+'TCO TO BE - HW'!T$4)/($E$4+'TCO TO BE - HW'!$E$4)*SUM(POZICIE_INTERNE!$I$53:$I$64))/POZICIE_INTERNE!$B$53)),0)+IFERROR(IF((EXTERNE_POZICIE!$B$53-12*('TCO TO BE- SW'!$D159-1))&gt;12,((T$4+'TCO TO BE - HW'!T$4)/($E$4+'TCO TO BE - HW'!$E$4)*SUM(EXTERNE_POZICIE!$M$53:$M$64)*1.23)/EXTERNE_POZICIE!$B$41*12,IF((EXTERNE_POZICIE!$B$53-12*('TCO TO BE- SW'!$D159-1))&lt;0,0,(EXTERNE_POZICIE!$B$53-12*('TCO TO BE- SW'!$D159-1))*((T$4+'TCO TO BE - HW'!T$4)/($E$4+'TCO TO BE - HW'!$E$4)*SUM(EXTERNE_POZICIE!$M$53:$M$64)*1.23)/EXTERNE_POZICIE!$B$53)),0)+IFERROR(SUM(#REF!)*'TCO TO BE- SW'!T$4/'TCO TO BE- SW'!$E$4,0)</f>
        <v>0</v>
      </c>
      <c r="U169" s="574">
        <f>IFERROR(IF((POZICIE_INTERNE!$B$53-12*('TCO TO BE- SW'!$D159-1))&gt;12,((U$4+'TCO TO BE - HW'!U$4)/($E$4+'TCO TO BE - HW'!$E$4)*SUM(POZICIE_INTERNE!$I$53:$I$64))/POZICIE_INTERNE!$B$53*12,IF((POZICIE_INTERNE!$B$53-12*('TCO TO BE- SW'!$D159-1))&lt;0,0,(POZICIE_INTERNE!$B$53-12*('TCO TO BE- SW'!$D159-1))*((U$4+'TCO TO BE - HW'!U$4)/($E$4+'TCO TO BE - HW'!$E$4)*SUM(POZICIE_INTERNE!$I$53:$I$64))/POZICIE_INTERNE!$B$53)),0)+IFERROR(IF((EXTERNE_POZICIE!$B$53-12*('TCO TO BE- SW'!$D159-1))&gt;12,((U$4+'TCO TO BE - HW'!U$4)/($E$4+'TCO TO BE - HW'!$E$4)*SUM(EXTERNE_POZICIE!$M$53:$M$64)*1.23)/EXTERNE_POZICIE!$B$41*12,IF((EXTERNE_POZICIE!$B$53-12*('TCO TO BE- SW'!$D159-1))&lt;0,0,(EXTERNE_POZICIE!$B$53-12*('TCO TO BE- SW'!$D159-1))*((U$4+'TCO TO BE - HW'!U$4)/($E$4+'TCO TO BE - HW'!$E$4)*SUM(EXTERNE_POZICIE!$M$53:$M$64)*1.23)/EXTERNE_POZICIE!$B$53)),0)+IFERROR(SUM(#REF!)*'TCO TO BE- SW'!U$4/'TCO TO BE- SW'!$E$4,0)</f>
        <v>0</v>
      </c>
      <c r="V169" s="574">
        <f>IFERROR(IF((POZICIE_INTERNE!$B$53-12*('TCO TO BE- SW'!$D159-1))&gt;12,((V$4+'TCO TO BE - HW'!V$4)/($E$4+'TCO TO BE - HW'!$E$4)*SUM(POZICIE_INTERNE!$I$53:$I$64))/POZICIE_INTERNE!$B$53*12,IF((POZICIE_INTERNE!$B$53-12*('TCO TO BE- SW'!$D159-1))&lt;0,0,(POZICIE_INTERNE!$B$53-12*('TCO TO BE- SW'!$D159-1))*((V$4+'TCO TO BE - HW'!V$4)/($E$4+'TCO TO BE - HW'!$E$4)*SUM(POZICIE_INTERNE!$I$53:$I$64))/POZICIE_INTERNE!$B$53)),0)+IFERROR(IF((EXTERNE_POZICIE!$B$53-12*('TCO TO BE- SW'!$D159-1))&gt;12,((V$4+'TCO TO BE - HW'!V$4)/($E$4+'TCO TO BE - HW'!$E$4)*SUM(EXTERNE_POZICIE!$M$53:$M$64)*1.23)/EXTERNE_POZICIE!$B$41*12,IF((EXTERNE_POZICIE!$B$53-12*('TCO TO BE- SW'!$D159-1))&lt;0,0,(EXTERNE_POZICIE!$B$53-12*('TCO TO BE- SW'!$D159-1))*((V$4+'TCO TO BE - HW'!V$4)/($E$4+'TCO TO BE - HW'!$E$4)*SUM(EXTERNE_POZICIE!$M$53:$M$64)*1.23)/EXTERNE_POZICIE!$B$53)),0)+IFERROR(SUM(#REF!)*'TCO TO BE- SW'!V$4/'TCO TO BE- SW'!$E$4,0)</f>
        <v>0</v>
      </c>
      <c r="W169" s="574">
        <f>IFERROR(IF((POZICIE_INTERNE!$B$53-12*('TCO TO BE- SW'!$D159-1))&gt;12,((W$4+'TCO TO BE - HW'!W$4)/($E$4+'TCO TO BE - HW'!$E$4)*SUM(POZICIE_INTERNE!$I$53:$I$64))/POZICIE_INTERNE!$B$53*12,IF((POZICIE_INTERNE!$B$53-12*('TCO TO BE- SW'!$D159-1))&lt;0,0,(POZICIE_INTERNE!$B$53-12*('TCO TO BE- SW'!$D159-1))*((W$4+'TCO TO BE - HW'!W$4)/($E$4+'TCO TO BE - HW'!$E$4)*SUM(POZICIE_INTERNE!$I$53:$I$64))/POZICIE_INTERNE!$B$53)),0)+IFERROR(IF((EXTERNE_POZICIE!$B$53-12*('TCO TO BE- SW'!$D159-1))&gt;12,((W$4+'TCO TO BE - HW'!W$4)/($E$4+'TCO TO BE - HW'!$E$4)*SUM(EXTERNE_POZICIE!$M$53:$M$64)*1.23)/EXTERNE_POZICIE!$B$41*12,IF((EXTERNE_POZICIE!$B$53-12*('TCO TO BE- SW'!$D159-1))&lt;0,0,(EXTERNE_POZICIE!$B$53-12*('TCO TO BE- SW'!$D159-1))*((W$4+'TCO TO BE - HW'!W$4)/($E$4+'TCO TO BE - HW'!$E$4)*SUM(EXTERNE_POZICIE!$M$53:$M$64)*1.23)/EXTERNE_POZICIE!$B$53)),0)+IFERROR(SUM(#REF!)*'TCO TO BE- SW'!W$4/'TCO TO BE- SW'!$E$4,0)</f>
        <v>0</v>
      </c>
      <c r="X169" s="574">
        <f>IFERROR(IF((POZICIE_INTERNE!$B$53-12*('TCO TO BE- SW'!$D159-1))&gt;12,((X$4+'TCO TO BE - HW'!X$4)/($E$4+'TCO TO BE - HW'!$E$4)*SUM(POZICIE_INTERNE!$I$53:$I$64))/POZICIE_INTERNE!$B$53*12,IF((POZICIE_INTERNE!$B$53-12*('TCO TO BE- SW'!$D159-1))&lt;0,0,(POZICIE_INTERNE!$B$53-12*('TCO TO BE- SW'!$D159-1))*((X$4+'TCO TO BE - HW'!X$4)/($E$4+'TCO TO BE - HW'!$E$4)*SUM(POZICIE_INTERNE!$I$53:$I$64))/POZICIE_INTERNE!$B$53)),0)+IFERROR(IF((EXTERNE_POZICIE!$B$53-12*('TCO TO BE- SW'!$D159-1))&gt;12,((X$4+'TCO TO BE - HW'!X$4)/($E$4+'TCO TO BE - HW'!$E$4)*SUM(EXTERNE_POZICIE!$M$53:$M$64)*1.23)/EXTERNE_POZICIE!$B$41*12,IF((EXTERNE_POZICIE!$B$53-12*('TCO TO BE- SW'!$D159-1))&lt;0,0,(EXTERNE_POZICIE!$B$53-12*('TCO TO BE- SW'!$D159-1))*((X$4+'TCO TO BE - HW'!X$4)/($E$4+'TCO TO BE - HW'!$E$4)*SUM(EXTERNE_POZICIE!$M$53:$M$64)*1.23)/EXTERNE_POZICIE!$B$53)),0)+IFERROR(SUM(#REF!)*'TCO TO BE- SW'!X$4/'TCO TO BE- SW'!$E$4,0)</f>
        <v>0</v>
      </c>
      <c r="Y169" s="574">
        <f>IFERROR(IF((POZICIE_INTERNE!$B$53-12*('TCO TO BE- SW'!$D159-1))&gt;12,((Y$4+'TCO TO BE - HW'!Y$4)/($E$4+'TCO TO BE - HW'!$E$4)*SUM(POZICIE_INTERNE!$I$53:$I$64))/POZICIE_INTERNE!$B$53*12,IF((POZICIE_INTERNE!$B$53-12*('TCO TO BE- SW'!$D159-1))&lt;0,0,(POZICIE_INTERNE!$B$53-12*('TCO TO BE- SW'!$D159-1))*((Y$4+'TCO TO BE - HW'!Y$4)/($E$4+'TCO TO BE - HW'!$E$4)*SUM(POZICIE_INTERNE!$I$53:$I$64))/POZICIE_INTERNE!$B$53)),0)+IFERROR(IF((EXTERNE_POZICIE!$B$53-12*('TCO TO BE- SW'!$D159-1))&gt;12,((Y$4+'TCO TO BE - HW'!Y$4)/($E$4+'TCO TO BE - HW'!$E$4)*SUM(EXTERNE_POZICIE!$M$53:$M$64)*1.23)/EXTERNE_POZICIE!$B$41*12,IF((EXTERNE_POZICIE!$B$53-12*('TCO TO BE- SW'!$D159-1))&lt;0,0,(EXTERNE_POZICIE!$B$53-12*('TCO TO BE- SW'!$D159-1))*((Y$4+'TCO TO BE - HW'!Y$4)/($E$4+'TCO TO BE - HW'!$E$4)*SUM(EXTERNE_POZICIE!$M$53:$M$64)*1.23)/EXTERNE_POZICIE!$B$53)),0)+IFERROR(SUM(#REF!)*'TCO TO BE- SW'!Y$4/'TCO TO BE- SW'!$E$4,0)</f>
        <v>0</v>
      </c>
      <c r="Z169" s="574">
        <f>IFERROR(IF((POZICIE_INTERNE!$B$53-12*('TCO TO BE- SW'!$D159-1))&gt;12,((Z$4+'TCO TO BE - HW'!Z$4)/($E$4+'TCO TO BE - HW'!$E$4)*SUM(POZICIE_INTERNE!$I$53:$I$64))/POZICIE_INTERNE!$B$53*12,IF((POZICIE_INTERNE!$B$53-12*('TCO TO BE- SW'!$D159-1))&lt;0,0,(POZICIE_INTERNE!$B$53-12*('TCO TO BE- SW'!$D159-1))*((Z$4+'TCO TO BE - HW'!Z$4)/($E$4+'TCO TO BE - HW'!$E$4)*SUM(POZICIE_INTERNE!$I$53:$I$64))/POZICIE_INTERNE!$B$53)),0)+IFERROR(IF((EXTERNE_POZICIE!$B$53-12*('TCO TO BE- SW'!$D159-1))&gt;12,((Z$4+'TCO TO BE - HW'!Z$4)/($E$4+'TCO TO BE - HW'!$E$4)*SUM(EXTERNE_POZICIE!$M$53:$M$64)*1.23)/EXTERNE_POZICIE!$B$41*12,IF((EXTERNE_POZICIE!$B$53-12*('TCO TO BE- SW'!$D159-1))&lt;0,0,(EXTERNE_POZICIE!$B$53-12*('TCO TO BE- SW'!$D159-1))*((Z$4+'TCO TO BE - HW'!Z$4)/($E$4+'TCO TO BE - HW'!$E$4)*SUM(EXTERNE_POZICIE!$M$53:$M$64)*1.23)/EXTERNE_POZICIE!$B$53)),0)+IFERROR(SUM(#REF!)*'TCO TO BE- SW'!Z$4/'TCO TO BE- SW'!$E$4,0)</f>
        <v>0</v>
      </c>
    </row>
    <row r="170" spans="1:26" ht="15.75" thickBot="1">
      <c r="A170" s="817"/>
      <c r="B170" s="818"/>
      <c r="C170" s="818"/>
      <c r="D170" s="65">
        <v>10</v>
      </c>
      <c r="E170" s="69">
        <f t="shared" si="16"/>
        <v>0</v>
      </c>
      <c r="F170" s="574">
        <f>IFERROR(IF((POZICIE_INTERNE!$B$53-12*('TCO TO BE- SW'!$D160-1))&gt;12,((F$4+'TCO TO BE - HW'!F$4)/($E$4+'TCO TO BE - HW'!$E$4)*SUM(POZICIE_INTERNE!$I$53:$I$64))/POZICIE_INTERNE!$B$53*12,IF((POZICIE_INTERNE!$B$53-12*('TCO TO BE- SW'!$D160-1))&lt;0,0,(POZICIE_INTERNE!$B$53-12*('TCO TO BE- SW'!$D160-1))*((F$4+'TCO TO BE - HW'!F$4)/($E$4+'TCO TO BE - HW'!$E$4)*SUM(POZICIE_INTERNE!$I$53:$I$64))/POZICIE_INTERNE!$B$53)),0)+IFERROR(IF((EXTERNE_POZICIE!$B$53-12*('TCO TO BE- SW'!$D160-1))&gt;12,((F$4+'TCO TO BE - HW'!F$4)/($E$4+'TCO TO BE - HW'!$E$4)*SUM(EXTERNE_POZICIE!$M$53:$M$64)*1.23)/EXTERNE_POZICIE!$B$41*12,IF((EXTERNE_POZICIE!$B$53-12*('TCO TO BE- SW'!$D160-1))&lt;0,0,(EXTERNE_POZICIE!$B$53-12*('TCO TO BE- SW'!$D160-1))*((F$4+'TCO TO BE - HW'!F$4)/($E$4+'TCO TO BE - HW'!$E$4)*SUM(EXTERNE_POZICIE!$M$53:$M$64)*1.23)/EXTERNE_POZICIE!$B$53)),0)+IFERROR(SUM(#REF!)*'TCO TO BE- SW'!F$4/'TCO TO BE- SW'!$E$4,0)</f>
        <v>0</v>
      </c>
      <c r="G170" s="574">
        <f>IFERROR(IF((POZICIE_INTERNE!$B$53-12*('TCO TO BE- SW'!$D160-1))&gt;12,((G$4+'TCO TO BE - HW'!G$4)/($E$4+'TCO TO BE - HW'!$E$4)*SUM(POZICIE_INTERNE!$I$53:$I$64))/POZICIE_INTERNE!$B$53*12,IF((POZICIE_INTERNE!$B$53-12*('TCO TO BE- SW'!$D160-1))&lt;0,0,(POZICIE_INTERNE!$B$53-12*('TCO TO BE- SW'!$D160-1))*((G$4+'TCO TO BE - HW'!G$4)/($E$4+'TCO TO BE - HW'!$E$4)*SUM(POZICIE_INTERNE!$I$53:$I$64))/POZICIE_INTERNE!$B$53)),0)+IFERROR(IF((EXTERNE_POZICIE!$B$53-12*('TCO TO BE- SW'!$D160-1))&gt;12,((G$4+'TCO TO BE - HW'!G$4)/($E$4+'TCO TO BE - HW'!$E$4)*SUM(EXTERNE_POZICIE!$M$53:$M$64)*1.23)/EXTERNE_POZICIE!$B$41*12,IF((EXTERNE_POZICIE!$B$53-12*('TCO TO BE- SW'!$D160-1))&lt;0,0,(EXTERNE_POZICIE!$B$53-12*('TCO TO BE- SW'!$D160-1))*((G$4+'TCO TO BE - HW'!G$4)/($E$4+'TCO TO BE - HW'!$E$4)*SUM(EXTERNE_POZICIE!$M$53:$M$64)*1.23)/EXTERNE_POZICIE!$B$53)),0)+IFERROR(SUM(#REF!)*'TCO TO BE- SW'!G$4/'TCO TO BE- SW'!$E$4,0)</f>
        <v>0</v>
      </c>
      <c r="H170" s="574">
        <f>IFERROR(IF((POZICIE_INTERNE!$B$53-12*('TCO TO BE- SW'!$D160-1))&gt;12,((H$4+'TCO TO BE - HW'!H$4)/($E$4+'TCO TO BE - HW'!$E$4)*SUM(POZICIE_INTERNE!$I$53:$I$64))/POZICIE_INTERNE!$B$53*12,IF((POZICIE_INTERNE!$B$53-12*('TCO TO BE- SW'!$D160-1))&lt;0,0,(POZICIE_INTERNE!$B$53-12*('TCO TO BE- SW'!$D160-1))*((H$4+'TCO TO BE - HW'!H$4)/($E$4+'TCO TO BE - HW'!$E$4)*SUM(POZICIE_INTERNE!$I$53:$I$64))/POZICIE_INTERNE!$B$53)),0)+IFERROR(IF((EXTERNE_POZICIE!$B$53-12*('TCO TO BE- SW'!$D160-1))&gt;12,((H$4+'TCO TO BE - HW'!H$4)/($E$4+'TCO TO BE - HW'!$E$4)*SUM(EXTERNE_POZICIE!$M$53:$M$64)*1.23)/EXTERNE_POZICIE!$B$41*12,IF((EXTERNE_POZICIE!$B$53-12*('TCO TO BE- SW'!$D160-1))&lt;0,0,(EXTERNE_POZICIE!$B$53-12*('TCO TO BE- SW'!$D160-1))*((H$4+'TCO TO BE - HW'!H$4)/($E$4+'TCO TO BE - HW'!$E$4)*SUM(EXTERNE_POZICIE!$M$53:$M$64)*1.23)/EXTERNE_POZICIE!$B$53)),0)+IFERROR(SUM(#REF!)*'TCO TO BE- SW'!H$4/'TCO TO BE- SW'!$E$4,0)</f>
        <v>0</v>
      </c>
      <c r="I170" s="574">
        <f>IFERROR(IF((POZICIE_INTERNE!$B$53-12*('TCO TO BE- SW'!$D160-1))&gt;12,((I$4+'TCO TO BE - HW'!I$4)/($E$4+'TCO TO BE - HW'!$E$4)*SUM(POZICIE_INTERNE!$I$53:$I$64))/POZICIE_INTERNE!$B$53*12,IF((POZICIE_INTERNE!$B$53-12*('TCO TO BE- SW'!$D160-1))&lt;0,0,(POZICIE_INTERNE!$B$53-12*('TCO TO BE- SW'!$D160-1))*((I$4+'TCO TO BE - HW'!I$4)/($E$4+'TCO TO BE - HW'!$E$4)*SUM(POZICIE_INTERNE!$I$53:$I$64))/POZICIE_INTERNE!$B$53)),0)+IFERROR(IF((EXTERNE_POZICIE!$B$53-12*('TCO TO BE- SW'!$D160-1))&gt;12,((I$4+'TCO TO BE - HW'!I$4)/($E$4+'TCO TO BE - HW'!$E$4)*SUM(EXTERNE_POZICIE!$M$53:$M$64)*1.23)/EXTERNE_POZICIE!$B$41*12,IF((EXTERNE_POZICIE!$B$53-12*('TCO TO BE- SW'!$D160-1))&lt;0,0,(EXTERNE_POZICIE!$B$53-12*('TCO TO BE- SW'!$D160-1))*((I$4+'TCO TO BE - HW'!I$4)/($E$4+'TCO TO BE - HW'!$E$4)*SUM(EXTERNE_POZICIE!$M$53:$M$64)*1.23)/EXTERNE_POZICIE!$B$53)),0)+IFERROR(SUM(#REF!)*'TCO TO BE- SW'!I$4/'TCO TO BE- SW'!$E$4,0)</f>
        <v>0</v>
      </c>
      <c r="J170" s="574">
        <f>IFERROR(IF((POZICIE_INTERNE!$B$53-12*('TCO TO BE- SW'!$D160-1))&gt;12,((J$4+'TCO TO BE - HW'!J$4)/($E$4+'TCO TO BE - HW'!$E$4)*SUM(POZICIE_INTERNE!$I$53:$I$64))/POZICIE_INTERNE!$B$53*12,IF((POZICIE_INTERNE!$B$53-12*('TCO TO BE- SW'!$D160-1))&lt;0,0,(POZICIE_INTERNE!$B$53-12*('TCO TO BE- SW'!$D160-1))*((J$4+'TCO TO BE - HW'!J$4)/($E$4+'TCO TO BE - HW'!$E$4)*SUM(POZICIE_INTERNE!$I$53:$I$64))/POZICIE_INTERNE!$B$53)),0)+IFERROR(IF((EXTERNE_POZICIE!$B$53-12*('TCO TO BE- SW'!$D160-1))&gt;12,((J$4+'TCO TO BE - HW'!J$4)/($E$4+'TCO TO BE - HW'!$E$4)*SUM(EXTERNE_POZICIE!$M$53:$M$64)*1.23)/EXTERNE_POZICIE!$B$41*12,IF((EXTERNE_POZICIE!$B$53-12*('TCO TO BE- SW'!$D160-1))&lt;0,0,(EXTERNE_POZICIE!$B$53-12*('TCO TO BE- SW'!$D160-1))*((J$4+'TCO TO BE - HW'!J$4)/($E$4+'TCO TO BE - HW'!$E$4)*SUM(EXTERNE_POZICIE!$M$53:$M$64)*1.23)/EXTERNE_POZICIE!$B$53)),0)+IFERROR(SUM(#REF!)*'TCO TO BE- SW'!J$4/'TCO TO BE- SW'!$E$4,0)</f>
        <v>0</v>
      </c>
      <c r="K170" s="574">
        <f>IFERROR(IF((POZICIE_INTERNE!$B$53-12*('TCO TO BE- SW'!$D160-1))&gt;12,((K$4+'TCO TO BE - HW'!K$4)/($E$4+'TCO TO BE - HW'!$E$4)*SUM(POZICIE_INTERNE!$I$53:$I$64))/POZICIE_INTERNE!$B$53*12,IF((POZICIE_INTERNE!$B$53-12*('TCO TO BE- SW'!$D160-1))&lt;0,0,(POZICIE_INTERNE!$B$53-12*('TCO TO BE- SW'!$D160-1))*((K$4+'TCO TO BE - HW'!K$4)/($E$4+'TCO TO BE - HW'!$E$4)*SUM(POZICIE_INTERNE!$I$53:$I$64))/POZICIE_INTERNE!$B$53)),0)+IFERROR(IF((EXTERNE_POZICIE!$B$53-12*('TCO TO BE- SW'!$D160-1))&gt;12,((K$4+'TCO TO BE - HW'!K$4)/($E$4+'TCO TO BE - HW'!$E$4)*SUM(EXTERNE_POZICIE!$M$53:$M$64)*1.23)/EXTERNE_POZICIE!$B$41*12,IF((EXTERNE_POZICIE!$B$53-12*('TCO TO BE- SW'!$D160-1))&lt;0,0,(EXTERNE_POZICIE!$B$53-12*('TCO TO BE- SW'!$D160-1))*((K$4+'TCO TO BE - HW'!K$4)/($E$4+'TCO TO BE - HW'!$E$4)*SUM(EXTERNE_POZICIE!$M$53:$M$64)*1.23)/EXTERNE_POZICIE!$B$53)),0)+IFERROR(SUM(#REF!)*'TCO TO BE- SW'!K$4/'TCO TO BE- SW'!$E$4,0)</f>
        <v>0</v>
      </c>
      <c r="L170" s="574">
        <f>IFERROR(IF((POZICIE_INTERNE!$B$53-12*('TCO TO BE- SW'!$D160-1))&gt;12,((L$4+'TCO TO BE - HW'!L$4)/($E$4+'TCO TO BE - HW'!$E$4)*SUM(POZICIE_INTERNE!$I$53:$I$64))/POZICIE_INTERNE!$B$53*12,IF((POZICIE_INTERNE!$B$53-12*('TCO TO BE- SW'!$D160-1))&lt;0,0,(POZICIE_INTERNE!$B$53-12*('TCO TO BE- SW'!$D160-1))*((L$4+'TCO TO BE - HW'!L$4)/($E$4+'TCO TO BE - HW'!$E$4)*SUM(POZICIE_INTERNE!$I$53:$I$64))/POZICIE_INTERNE!$B$53)),0)+IFERROR(IF((EXTERNE_POZICIE!$B$53-12*('TCO TO BE- SW'!$D160-1))&gt;12,((L$4+'TCO TO BE - HW'!L$4)/($E$4+'TCO TO BE - HW'!$E$4)*SUM(EXTERNE_POZICIE!$M$53:$M$64)*1.23)/EXTERNE_POZICIE!$B$41*12,IF((EXTERNE_POZICIE!$B$53-12*('TCO TO BE- SW'!$D160-1))&lt;0,0,(EXTERNE_POZICIE!$B$53-12*('TCO TO BE- SW'!$D160-1))*((L$4+'TCO TO BE - HW'!L$4)/($E$4+'TCO TO BE - HW'!$E$4)*SUM(EXTERNE_POZICIE!$M$53:$M$64)*1.23)/EXTERNE_POZICIE!$B$53)),0)+IFERROR(SUM(#REF!)*'TCO TO BE- SW'!L$4/'TCO TO BE- SW'!$E$4,0)</f>
        <v>0</v>
      </c>
      <c r="M170" s="574">
        <f>IFERROR(IF((POZICIE_INTERNE!$B$53-12*('TCO TO BE- SW'!$D160-1))&gt;12,((M$4+'TCO TO BE - HW'!M$4)/($E$4+'TCO TO BE - HW'!$E$4)*SUM(POZICIE_INTERNE!$I$53:$I$64))/POZICIE_INTERNE!$B$53*12,IF((POZICIE_INTERNE!$B$53-12*('TCO TO BE- SW'!$D160-1))&lt;0,0,(POZICIE_INTERNE!$B$53-12*('TCO TO BE- SW'!$D160-1))*((M$4+'TCO TO BE - HW'!M$4)/($E$4+'TCO TO BE - HW'!$E$4)*SUM(POZICIE_INTERNE!$I$53:$I$64))/POZICIE_INTERNE!$B$53)),0)+IFERROR(IF((EXTERNE_POZICIE!$B$53-12*('TCO TO BE- SW'!$D160-1))&gt;12,((M$4+'TCO TO BE - HW'!M$4)/($E$4+'TCO TO BE - HW'!$E$4)*SUM(EXTERNE_POZICIE!$M$53:$M$64)*1.23)/EXTERNE_POZICIE!$B$41*12,IF((EXTERNE_POZICIE!$B$53-12*('TCO TO BE- SW'!$D160-1))&lt;0,0,(EXTERNE_POZICIE!$B$53-12*('TCO TO BE- SW'!$D160-1))*((M$4+'TCO TO BE - HW'!M$4)/($E$4+'TCO TO BE - HW'!$E$4)*SUM(EXTERNE_POZICIE!$M$53:$M$64)*1.23)/EXTERNE_POZICIE!$B$53)),0)+IFERROR(SUM(#REF!)*'TCO TO BE- SW'!M$4/'TCO TO BE- SW'!$E$4,0)</f>
        <v>0</v>
      </c>
      <c r="N170" s="574">
        <f>IFERROR(IF((POZICIE_INTERNE!$B$53-12*('TCO TO BE- SW'!$D160-1))&gt;12,((N$4+'TCO TO BE - HW'!N$4)/($E$4+'TCO TO BE - HW'!$E$4)*SUM(POZICIE_INTERNE!$I$53:$I$64))/POZICIE_INTERNE!$B$53*12,IF((POZICIE_INTERNE!$B$53-12*('TCO TO BE- SW'!$D160-1))&lt;0,0,(POZICIE_INTERNE!$B$53-12*('TCO TO BE- SW'!$D160-1))*((N$4+'TCO TO BE - HW'!N$4)/($E$4+'TCO TO BE - HW'!$E$4)*SUM(POZICIE_INTERNE!$I$53:$I$64))/POZICIE_INTERNE!$B$53)),0)+IFERROR(IF((EXTERNE_POZICIE!$B$53-12*('TCO TO BE- SW'!$D160-1))&gt;12,((N$4+'TCO TO BE - HW'!N$4)/($E$4+'TCO TO BE - HW'!$E$4)*SUM(EXTERNE_POZICIE!$M$53:$M$64)*1.23)/EXTERNE_POZICIE!$B$41*12,IF((EXTERNE_POZICIE!$B$53-12*('TCO TO BE- SW'!$D160-1))&lt;0,0,(EXTERNE_POZICIE!$B$53-12*('TCO TO BE- SW'!$D160-1))*((N$4+'TCO TO BE - HW'!N$4)/($E$4+'TCO TO BE - HW'!$E$4)*SUM(EXTERNE_POZICIE!$M$53:$M$64)*1.23)/EXTERNE_POZICIE!$B$53)),0)+IFERROR(SUM(#REF!)*'TCO TO BE- SW'!N$4/'TCO TO BE- SW'!$E$4,0)</f>
        <v>0</v>
      </c>
      <c r="O170" s="574">
        <f>IFERROR(IF((POZICIE_INTERNE!$B$53-12*('TCO TO BE- SW'!$D160-1))&gt;12,((O$4+'TCO TO BE - HW'!O$4)/($E$4+'TCO TO BE - HW'!$E$4)*SUM(POZICIE_INTERNE!$I$53:$I$64))/POZICIE_INTERNE!$B$53*12,IF((POZICIE_INTERNE!$B$53-12*('TCO TO BE- SW'!$D160-1))&lt;0,0,(POZICIE_INTERNE!$B$53-12*('TCO TO BE- SW'!$D160-1))*((O$4+'TCO TO BE - HW'!O$4)/($E$4+'TCO TO BE - HW'!$E$4)*SUM(POZICIE_INTERNE!$I$53:$I$64))/POZICIE_INTERNE!$B$53)),0)+IFERROR(IF((EXTERNE_POZICIE!$B$53-12*('TCO TO BE- SW'!$D160-1))&gt;12,((O$4+'TCO TO BE - HW'!O$4)/($E$4+'TCO TO BE - HW'!$E$4)*SUM(EXTERNE_POZICIE!$M$53:$M$64)*1.23)/EXTERNE_POZICIE!$B$41*12,IF((EXTERNE_POZICIE!$B$53-12*('TCO TO BE- SW'!$D160-1))&lt;0,0,(EXTERNE_POZICIE!$B$53-12*('TCO TO BE- SW'!$D160-1))*((O$4+'TCO TO BE - HW'!O$4)/($E$4+'TCO TO BE - HW'!$E$4)*SUM(EXTERNE_POZICIE!$M$53:$M$64)*1.23)/EXTERNE_POZICIE!$B$53)),0)+IFERROR(SUM(#REF!)*'TCO TO BE- SW'!O$4/'TCO TO BE- SW'!$E$4,0)</f>
        <v>0</v>
      </c>
      <c r="P170" s="574">
        <f>IFERROR(IF((POZICIE_INTERNE!$B$53-12*('TCO TO BE- SW'!$D160-1))&gt;12,((P$4+'TCO TO BE - HW'!P$4)/($E$4+'TCO TO BE - HW'!$E$4)*SUM(POZICIE_INTERNE!$I$53:$I$64))/POZICIE_INTERNE!$B$53*12,IF((POZICIE_INTERNE!$B$53-12*('TCO TO BE- SW'!$D160-1))&lt;0,0,(POZICIE_INTERNE!$B$53-12*('TCO TO BE- SW'!$D160-1))*((P$4+'TCO TO BE - HW'!P$4)/($E$4+'TCO TO BE - HW'!$E$4)*SUM(POZICIE_INTERNE!$I$53:$I$64))/POZICIE_INTERNE!$B$53)),0)+IFERROR(IF((EXTERNE_POZICIE!$B$53-12*('TCO TO BE- SW'!$D160-1))&gt;12,((P$4+'TCO TO BE - HW'!P$4)/($E$4+'TCO TO BE - HW'!$E$4)*SUM(EXTERNE_POZICIE!$M$53:$M$64)*1.23)/EXTERNE_POZICIE!$B$41*12,IF((EXTERNE_POZICIE!$B$53-12*('TCO TO BE- SW'!$D160-1))&lt;0,0,(EXTERNE_POZICIE!$B$53-12*('TCO TO BE- SW'!$D160-1))*((P$4+'TCO TO BE - HW'!P$4)/($E$4+'TCO TO BE - HW'!$E$4)*SUM(EXTERNE_POZICIE!$M$53:$M$64)*1.23)/EXTERNE_POZICIE!$B$53)),0)+IFERROR(SUM(#REF!)*'TCO TO BE- SW'!P$4/'TCO TO BE- SW'!$E$4,0)</f>
        <v>0</v>
      </c>
      <c r="Q170" s="574">
        <f>IFERROR(IF((POZICIE_INTERNE!$B$53-12*('TCO TO BE- SW'!$D160-1))&gt;12,((Q$4+'TCO TO BE - HW'!Q$4)/($E$4+'TCO TO BE - HW'!$E$4)*SUM(POZICIE_INTERNE!$I$53:$I$64))/POZICIE_INTERNE!$B$53*12,IF((POZICIE_INTERNE!$B$53-12*('TCO TO BE- SW'!$D160-1))&lt;0,0,(POZICIE_INTERNE!$B$53-12*('TCO TO BE- SW'!$D160-1))*((Q$4+'TCO TO BE - HW'!Q$4)/($E$4+'TCO TO BE - HW'!$E$4)*SUM(POZICIE_INTERNE!$I$53:$I$64))/POZICIE_INTERNE!$B$53)),0)+IFERROR(IF((EXTERNE_POZICIE!$B$53-12*('TCO TO BE- SW'!$D160-1))&gt;12,((Q$4+'TCO TO BE - HW'!Q$4)/($E$4+'TCO TO BE - HW'!$E$4)*SUM(EXTERNE_POZICIE!$M$53:$M$64)*1.23)/EXTERNE_POZICIE!$B$41*12,IF((EXTERNE_POZICIE!$B$53-12*('TCO TO BE- SW'!$D160-1))&lt;0,0,(EXTERNE_POZICIE!$B$53-12*('TCO TO BE- SW'!$D160-1))*((Q$4+'TCO TO BE - HW'!Q$4)/($E$4+'TCO TO BE - HW'!$E$4)*SUM(EXTERNE_POZICIE!$M$53:$M$64)*1.23)/EXTERNE_POZICIE!$B$53)),0)+IFERROR(SUM(#REF!)*'TCO TO BE- SW'!Q$4/'TCO TO BE- SW'!$E$4,0)</f>
        <v>0</v>
      </c>
      <c r="R170" s="574">
        <f>IFERROR(IF((POZICIE_INTERNE!$B$53-12*('TCO TO BE- SW'!$D160-1))&gt;12,((R$4+'TCO TO BE - HW'!R$4)/($E$4+'TCO TO BE - HW'!$E$4)*SUM(POZICIE_INTERNE!$I$53:$I$64))/POZICIE_INTERNE!$B$53*12,IF((POZICIE_INTERNE!$B$53-12*('TCO TO BE- SW'!$D160-1))&lt;0,0,(POZICIE_INTERNE!$B$53-12*('TCO TO BE- SW'!$D160-1))*((R$4+'TCO TO BE - HW'!R$4)/($E$4+'TCO TO BE - HW'!$E$4)*SUM(POZICIE_INTERNE!$I$53:$I$64))/POZICIE_INTERNE!$B$53)),0)+IFERROR(IF((EXTERNE_POZICIE!$B$53-12*('TCO TO BE- SW'!$D160-1))&gt;12,((R$4+'TCO TO BE - HW'!R$4)/($E$4+'TCO TO BE - HW'!$E$4)*SUM(EXTERNE_POZICIE!$M$53:$M$64)*1.23)/EXTERNE_POZICIE!$B$41*12,IF((EXTERNE_POZICIE!$B$53-12*('TCO TO BE- SW'!$D160-1))&lt;0,0,(EXTERNE_POZICIE!$B$53-12*('TCO TO BE- SW'!$D160-1))*((R$4+'TCO TO BE - HW'!R$4)/($E$4+'TCO TO BE - HW'!$E$4)*SUM(EXTERNE_POZICIE!$M$53:$M$64)*1.23)/EXTERNE_POZICIE!$B$53)),0)+IFERROR(SUM(#REF!)*'TCO TO BE- SW'!R$4/'TCO TO BE- SW'!$E$4,0)</f>
        <v>0</v>
      </c>
      <c r="S170" s="574">
        <f>IFERROR(IF((POZICIE_INTERNE!$B$53-12*('TCO TO BE- SW'!$D160-1))&gt;12,((S$4+'TCO TO BE - HW'!S$4)/($E$4+'TCO TO BE - HW'!$E$4)*SUM(POZICIE_INTERNE!$I$53:$I$64))/POZICIE_INTERNE!$B$53*12,IF((POZICIE_INTERNE!$B$53-12*('TCO TO BE- SW'!$D160-1))&lt;0,0,(POZICIE_INTERNE!$B$53-12*('TCO TO BE- SW'!$D160-1))*((S$4+'TCO TO BE - HW'!S$4)/($E$4+'TCO TO BE - HW'!$E$4)*SUM(POZICIE_INTERNE!$I$53:$I$64))/POZICIE_INTERNE!$B$53)),0)+IFERROR(IF((EXTERNE_POZICIE!$B$53-12*('TCO TO BE- SW'!$D160-1))&gt;12,((S$4+'TCO TO BE - HW'!S$4)/($E$4+'TCO TO BE - HW'!$E$4)*SUM(EXTERNE_POZICIE!$M$53:$M$64)*1.23)/EXTERNE_POZICIE!$B$41*12,IF((EXTERNE_POZICIE!$B$53-12*('TCO TO BE- SW'!$D160-1))&lt;0,0,(EXTERNE_POZICIE!$B$53-12*('TCO TO BE- SW'!$D160-1))*((S$4+'TCO TO BE - HW'!S$4)/($E$4+'TCO TO BE - HW'!$E$4)*SUM(EXTERNE_POZICIE!$M$53:$M$64)*1.23)/EXTERNE_POZICIE!$B$53)),0)+IFERROR(SUM(#REF!)*'TCO TO BE- SW'!S$4/'TCO TO BE- SW'!$E$4,0)</f>
        <v>0</v>
      </c>
      <c r="T170" s="574">
        <f>IFERROR(IF((POZICIE_INTERNE!$B$53-12*('TCO TO BE- SW'!$D160-1))&gt;12,((T$4+'TCO TO BE - HW'!T$4)/($E$4+'TCO TO BE - HW'!$E$4)*SUM(POZICIE_INTERNE!$I$53:$I$64))/POZICIE_INTERNE!$B$53*12,IF((POZICIE_INTERNE!$B$53-12*('TCO TO BE- SW'!$D160-1))&lt;0,0,(POZICIE_INTERNE!$B$53-12*('TCO TO BE- SW'!$D160-1))*((T$4+'TCO TO BE - HW'!T$4)/($E$4+'TCO TO BE - HW'!$E$4)*SUM(POZICIE_INTERNE!$I$53:$I$64))/POZICIE_INTERNE!$B$53)),0)+IFERROR(IF((EXTERNE_POZICIE!$B$53-12*('TCO TO BE- SW'!$D160-1))&gt;12,((T$4+'TCO TO BE - HW'!T$4)/($E$4+'TCO TO BE - HW'!$E$4)*SUM(EXTERNE_POZICIE!$M$53:$M$64)*1.23)/EXTERNE_POZICIE!$B$41*12,IF((EXTERNE_POZICIE!$B$53-12*('TCO TO BE- SW'!$D160-1))&lt;0,0,(EXTERNE_POZICIE!$B$53-12*('TCO TO BE- SW'!$D160-1))*((T$4+'TCO TO BE - HW'!T$4)/($E$4+'TCO TO BE - HW'!$E$4)*SUM(EXTERNE_POZICIE!$M$53:$M$64)*1.23)/EXTERNE_POZICIE!$B$53)),0)+IFERROR(SUM(#REF!)*'TCO TO BE- SW'!T$4/'TCO TO BE- SW'!$E$4,0)</f>
        <v>0</v>
      </c>
      <c r="U170" s="574">
        <f>IFERROR(IF((POZICIE_INTERNE!$B$53-12*('TCO TO BE- SW'!$D160-1))&gt;12,((U$4+'TCO TO BE - HW'!U$4)/($E$4+'TCO TO BE - HW'!$E$4)*SUM(POZICIE_INTERNE!$I$53:$I$64))/POZICIE_INTERNE!$B$53*12,IF((POZICIE_INTERNE!$B$53-12*('TCO TO BE- SW'!$D160-1))&lt;0,0,(POZICIE_INTERNE!$B$53-12*('TCO TO BE- SW'!$D160-1))*((U$4+'TCO TO BE - HW'!U$4)/($E$4+'TCO TO BE - HW'!$E$4)*SUM(POZICIE_INTERNE!$I$53:$I$64))/POZICIE_INTERNE!$B$53)),0)+IFERROR(IF((EXTERNE_POZICIE!$B$53-12*('TCO TO BE- SW'!$D160-1))&gt;12,((U$4+'TCO TO BE - HW'!U$4)/($E$4+'TCO TO BE - HW'!$E$4)*SUM(EXTERNE_POZICIE!$M$53:$M$64)*1.23)/EXTERNE_POZICIE!$B$41*12,IF((EXTERNE_POZICIE!$B$53-12*('TCO TO BE- SW'!$D160-1))&lt;0,0,(EXTERNE_POZICIE!$B$53-12*('TCO TO BE- SW'!$D160-1))*((U$4+'TCO TO BE - HW'!U$4)/($E$4+'TCO TO BE - HW'!$E$4)*SUM(EXTERNE_POZICIE!$M$53:$M$64)*1.23)/EXTERNE_POZICIE!$B$53)),0)+IFERROR(SUM(#REF!)*'TCO TO BE- SW'!U$4/'TCO TO BE- SW'!$E$4,0)</f>
        <v>0</v>
      </c>
      <c r="V170" s="574">
        <f>IFERROR(IF((POZICIE_INTERNE!$B$53-12*('TCO TO BE- SW'!$D160-1))&gt;12,((V$4+'TCO TO BE - HW'!V$4)/($E$4+'TCO TO BE - HW'!$E$4)*SUM(POZICIE_INTERNE!$I$53:$I$64))/POZICIE_INTERNE!$B$53*12,IF((POZICIE_INTERNE!$B$53-12*('TCO TO BE- SW'!$D160-1))&lt;0,0,(POZICIE_INTERNE!$B$53-12*('TCO TO BE- SW'!$D160-1))*((V$4+'TCO TO BE - HW'!V$4)/($E$4+'TCO TO BE - HW'!$E$4)*SUM(POZICIE_INTERNE!$I$53:$I$64))/POZICIE_INTERNE!$B$53)),0)+IFERROR(IF((EXTERNE_POZICIE!$B$53-12*('TCO TO BE- SW'!$D160-1))&gt;12,((V$4+'TCO TO BE - HW'!V$4)/($E$4+'TCO TO BE - HW'!$E$4)*SUM(EXTERNE_POZICIE!$M$53:$M$64)*1.23)/EXTERNE_POZICIE!$B$41*12,IF((EXTERNE_POZICIE!$B$53-12*('TCO TO BE- SW'!$D160-1))&lt;0,0,(EXTERNE_POZICIE!$B$53-12*('TCO TO BE- SW'!$D160-1))*((V$4+'TCO TO BE - HW'!V$4)/($E$4+'TCO TO BE - HW'!$E$4)*SUM(EXTERNE_POZICIE!$M$53:$M$64)*1.23)/EXTERNE_POZICIE!$B$53)),0)+IFERROR(SUM(#REF!)*'TCO TO BE- SW'!V$4/'TCO TO BE- SW'!$E$4,0)</f>
        <v>0</v>
      </c>
      <c r="W170" s="574">
        <f>IFERROR(IF((POZICIE_INTERNE!$B$53-12*('TCO TO BE- SW'!$D160-1))&gt;12,((W$4+'TCO TO BE - HW'!W$4)/($E$4+'TCO TO BE - HW'!$E$4)*SUM(POZICIE_INTERNE!$I$53:$I$64))/POZICIE_INTERNE!$B$53*12,IF((POZICIE_INTERNE!$B$53-12*('TCO TO BE- SW'!$D160-1))&lt;0,0,(POZICIE_INTERNE!$B$53-12*('TCO TO BE- SW'!$D160-1))*((W$4+'TCO TO BE - HW'!W$4)/($E$4+'TCO TO BE - HW'!$E$4)*SUM(POZICIE_INTERNE!$I$53:$I$64))/POZICIE_INTERNE!$B$53)),0)+IFERROR(IF((EXTERNE_POZICIE!$B$53-12*('TCO TO BE- SW'!$D160-1))&gt;12,((W$4+'TCO TO BE - HW'!W$4)/($E$4+'TCO TO BE - HW'!$E$4)*SUM(EXTERNE_POZICIE!$M$53:$M$64)*1.23)/EXTERNE_POZICIE!$B$41*12,IF((EXTERNE_POZICIE!$B$53-12*('TCO TO BE- SW'!$D160-1))&lt;0,0,(EXTERNE_POZICIE!$B$53-12*('TCO TO BE- SW'!$D160-1))*((W$4+'TCO TO BE - HW'!W$4)/($E$4+'TCO TO BE - HW'!$E$4)*SUM(EXTERNE_POZICIE!$M$53:$M$64)*1.23)/EXTERNE_POZICIE!$B$53)),0)+IFERROR(SUM(#REF!)*'TCO TO BE- SW'!W$4/'TCO TO BE- SW'!$E$4,0)</f>
        <v>0</v>
      </c>
      <c r="X170" s="574">
        <f>IFERROR(IF((POZICIE_INTERNE!$B$53-12*('TCO TO BE- SW'!$D160-1))&gt;12,((X$4+'TCO TO BE - HW'!X$4)/($E$4+'TCO TO BE - HW'!$E$4)*SUM(POZICIE_INTERNE!$I$53:$I$64))/POZICIE_INTERNE!$B$53*12,IF((POZICIE_INTERNE!$B$53-12*('TCO TO BE- SW'!$D160-1))&lt;0,0,(POZICIE_INTERNE!$B$53-12*('TCO TO BE- SW'!$D160-1))*((X$4+'TCO TO BE - HW'!X$4)/($E$4+'TCO TO BE - HW'!$E$4)*SUM(POZICIE_INTERNE!$I$53:$I$64))/POZICIE_INTERNE!$B$53)),0)+IFERROR(IF((EXTERNE_POZICIE!$B$53-12*('TCO TO BE- SW'!$D160-1))&gt;12,((X$4+'TCO TO BE - HW'!X$4)/($E$4+'TCO TO BE - HW'!$E$4)*SUM(EXTERNE_POZICIE!$M$53:$M$64)*1.23)/EXTERNE_POZICIE!$B$41*12,IF((EXTERNE_POZICIE!$B$53-12*('TCO TO BE- SW'!$D160-1))&lt;0,0,(EXTERNE_POZICIE!$B$53-12*('TCO TO BE- SW'!$D160-1))*((X$4+'TCO TO BE - HW'!X$4)/($E$4+'TCO TO BE - HW'!$E$4)*SUM(EXTERNE_POZICIE!$M$53:$M$64)*1.23)/EXTERNE_POZICIE!$B$53)),0)+IFERROR(SUM(#REF!)*'TCO TO BE- SW'!X$4/'TCO TO BE- SW'!$E$4,0)</f>
        <v>0</v>
      </c>
      <c r="Y170" s="574">
        <f>IFERROR(IF((POZICIE_INTERNE!$B$53-12*('TCO TO BE- SW'!$D160-1))&gt;12,((Y$4+'TCO TO BE - HW'!Y$4)/($E$4+'TCO TO BE - HW'!$E$4)*SUM(POZICIE_INTERNE!$I$53:$I$64))/POZICIE_INTERNE!$B$53*12,IF((POZICIE_INTERNE!$B$53-12*('TCO TO BE- SW'!$D160-1))&lt;0,0,(POZICIE_INTERNE!$B$53-12*('TCO TO BE- SW'!$D160-1))*((Y$4+'TCO TO BE - HW'!Y$4)/($E$4+'TCO TO BE - HW'!$E$4)*SUM(POZICIE_INTERNE!$I$53:$I$64))/POZICIE_INTERNE!$B$53)),0)+IFERROR(IF((EXTERNE_POZICIE!$B$53-12*('TCO TO BE- SW'!$D160-1))&gt;12,((Y$4+'TCO TO BE - HW'!Y$4)/($E$4+'TCO TO BE - HW'!$E$4)*SUM(EXTERNE_POZICIE!$M$53:$M$64)*1.23)/EXTERNE_POZICIE!$B$41*12,IF((EXTERNE_POZICIE!$B$53-12*('TCO TO BE- SW'!$D160-1))&lt;0,0,(EXTERNE_POZICIE!$B$53-12*('TCO TO BE- SW'!$D160-1))*((Y$4+'TCO TO BE - HW'!Y$4)/($E$4+'TCO TO BE - HW'!$E$4)*SUM(EXTERNE_POZICIE!$M$53:$M$64)*1.23)/EXTERNE_POZICIE!$B$53)),0)+IFERROR(SUM(#REF!)*'TCO TO BE- SW'!Y$4/'TCO TO BE- SW'!$E$4,0)</f>
        <v>0</v>
      </c>
      <c r="Z170" s="574">
        <f>IFERROR(IF((POZICIE_INTERNE!$B$53-12*('TCO TO BE- SW'!$D160-1))&gt;12,((Z$4+'TCO TO BE - HW'!Z$4)/($E$4+'TCO TO BE - HW'!$E$4)*SUM(POZICIE_INTERNE!$I$53:$I$64))/POZICIE_INTERNE!$B$53*12,IF((POZICIE_INTERNE!$B$53-12*('TCO TO BE- SW'!$D160-1))&lt;0,0,(POZICIE_INTERNE!$B$53-12*('TCO TO BE- SW'!$D160-1))*((Z$4+'TCO TO BE - HW'!Z$4)/($E$4+'TCO TO BE - HW'!$E$4)*SUM(POZICIE_INTERNE!$I$53:$I$64))/POZICIE_INTERNE!$B$53)),0)+IFERROR(IF((EXTERNE_POZICIE!$B$53-12*('TCO TO BE- SW'!$D160-1))&gt;12,((Z$4+'TCO TO BE - HW'!Z$4)/($E$4+'TCO TO BE - HW'!$E$4)*SUM(EXTERNE_POZICIE!$M$53:$M$64)*1.23)/EXTERNE_POZICIE!$B$41*12,IF((EXTERNE_POZICIE!$B$53-12*('TCO TO BE- SW'!$D160-1))&lt;0,0,(EXTERNE_POZICIE!$B$53-12*('TCO TO BE- SW'!$D160-1))*((Z$4+'TCO TO BE - HW'!Z$4)/($E$4+'TCO TO BE - HW'!$E$4)*SUM(EXTERNE_POZICIE!$M$53:$M$64)*1.23)/EXTERNE_POZICIE!$B$53)),0)+IFERROR(SUM(#REF!)*'TCO TO BE- SW'!Z$4/'TCO TO BE- SW'!$E$4,0)</f>
        <v>0</v>
      </c>
    </row>
    <row r="171" spans="1:26" ht="15.75" thickBot="1">
      <c r="A171" s="824" t="s">
        <v>106</v>
      </c>
      <c r="B171" s="825"/>
      <c r="C171" s="825"/>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17" t="s">
        <v>1523</v>
      </c>
      <c r="B172" s="818" t="s">
        <v>1506</v>
      </c>
      <c r="C172" s="818">
        <v>633013</v>
      </c>
      <c r="D172" s="63">
        <v>1</v>
      </c>
      <c r="E172" s="60">
        <f t="shared" ref="E172:E191" si="18">SUM(F172:Z172)</f>
        <v>0</v>
      </c>
      <c r="F172" s="578">
        <v>0</v>
      </c>
      <c r="G172" s="578">
        <v>0</v>
      </c>
      <c r="H172" s="578">
        <v>0</v>
      </c>
      <c r="I172" s="578">
        <v>0</v>
      </c>
      <c r="J172" s="578">
        <v>0</v>
      </c>
      <c r="K172" s="578">
        <v>0</v>
      </c>
      <c r="L172" s="578">
        <v>0</v>
      </c>
      <c r="M172" s="578">
        <v>0</v>
      </c>
      <c r="N172" s="578">
        <v>0</v>
      </c>
      <c r="O172" s="578">
        <v>0</v>
      </c>
      <c r="P172" s="578">
        <v>0</v>
      </c>
      <c r="Q172" s="578">
        <v>0</v>
      </c>
      <c r="R172" s="578">
        <v>0</v>
      </c>
      <c r="S172" s="578">
        <v>0</v>
      </c>
      <c r="T172" s="578">
        <v>0</v>
      </c>
      <c r="U172" s="578">
        <v>0</v>
      </c>
      <c r="V172" s="578">
        <v>0</v>
      </c>
      <c r="W172" s="578">
        <v>0</v>
      </c>
      <c r="X172" s="578">
        <v>0</v>
      </c>
      <c r="Y172" s="578">
        <v>0</v>
      </c>
      <c r="Z172" s="578">
        <v>0</v>
      </c>
    </row>
    <row r="173" spans="1:26">
      <c r="A173" s="817"/>
      <c r="B173" s="818"/>
      <c r="C173" s="818"/>
      <c r="D173" s="64">
        <v>2</v>
      </c>
      <c r="E173" s="61">
        <f t="shared" si="18"/>
        <v>0</v>
      </c>
      <c r="F173" s="579">
        <v>0</v>
      </c>
      <c r="G173" s="579">
        <v>0</v>
      </c>
      <c r="H173" s="579">
        <v>0</v>
      </c>
      <c r="I173" s="579">
        <v>0</v>
      </c>
      <c r="J173" s="579">
        <v>0</v>
      </c>
      <c r="K173" s="579">
        <v>0</v>
      </c>
      <c r="L173" s="579">
        <v>0</v>
      </c>
      <c r="M173" s="579">
        <v>0</v>
      </c>
      <c r="N173" s="579">
        <v>0</v>
      </c>
      <c r="O173" s="579">
        <v>0</v>
      </c>
      <c r="P173" s="579">
        <v>0</v>
      </c>
      <c r="Q173" s="579">
        <v>0</v>
      </c>
      <c r="R173" s="579">
        <v>0</v>
      </c>
      <c r="S173" s="579">
        <v>0</v>
      </c>
      <c r="T173" s="579">
        <v>0</v>
      </c>
      <c r="U173" s="579">
        <v>0</v>
      </c>
      <c r="V173" s="579">
        <v>0</v>
      </c>
      <c r="W173" s="579">
        <v>0</v>
      </c>
      <c r="X173" s="579">
        <v>0</v>
      </c>
      <c r="Y173" s="579">
        <v>0</v>
      </c>
      <c r="Z173" s="579">
        <v>0</v>
      </c>
    </row>
    <row r="174" spans="1:26">
      <c r="A174" s="817"/>
      <c r="B174" s="818"/>
      <c r="C174" s="818"/>
      <c r="D174" s="64">
        <v>3</v>
      </c>
      <c r="E174" s="61">
        <f t="shared" si="18"/>
        <v>0</v>
      </c>
      <c r="F174" s="579">
        <v>0</v>
      </c>
      <c r="G174" s="579">
        <v>0</v>
      </c>
      <c r="H174" s="579">
        <v>0</v>
      </c>
      <c r="I174" s="579">
        <v>0</v>
      </c>
      <c r="J174" s="579">
        <v>0</v>
      </c>
      <c r="K174" s="579">
        <v>0</v>
      </c>
      <c r="L174" s="579">
        <v>0</v>
      </c>
      <c r="M174" s="579">
        <v>0</v>
      </c>
      <c r="N174" s="579">
        <v>0</v>
      </c>
      <c r="O174" s="579">
        <v>0</v>
      </c>
      <c r="P174" s="579">
        <v>0</v>
      </c>
      <c r="Q174" s="579">
        <v>0</v>
      </c>
      <c r="R174" s="579">
        <v>0</v>
      </c>
      <c r="S174" s="579">
        <v>0</v>
      </c>
      <c r="T174" s="579">
        <v>0</v>
      </c>
      <c r="U174" s="579">
        <v>0</v>
      </c>
      <c r="V174" s="579">
        <v>0</v>
      </c>
      <c r="W174" s="579">
        <v>0</v>
      </c>
      <c r="X174" s="579">
        <v>0</v>
      </c>
      <c r="Y174" s="579">
        <v>0</v>
      </c>
      <c r="Z174" s="579">
        <v>0</v>
      </c>
    </row>
    <row r="175" spans="1:26">
      <c r="A175" s="817"/>
      <c r="B175" s="818"/>
      <c r="C175" s="818"/>
      <c r="D175" s="64">
        <v>4</v>
      </c>
      <c r="E175" s="61">
        <f t="shared" si="18"/>
        <v>0</v>
      </c>
      <c r="F175" s="579">
        <v>0</v>
      </c>
      <c r="G175" s="579">
        <v>0</v>
      </c>
      <c r="H175" s="579">
        <v>0</v>
      </c>
      <c r="I175" s="579">
        <v>0</v>
      </c>
      <c r="J175" s="579">
        <v>0</v>
      </c>
      <c r="K175" s="579">
        <v>0</v>
      </c>
      <c r="L175" s="579">
        <v>0</v>
      </c>
      <c r="M175" s="579">
        <v>0</v>
      </c>
      <c r="N175" s="579">
        <v>0</v>
      </c>
      <c r="O175" s="579">
        <v>0</v>
      </c>
      <c r="P175" s="579">
        <v>0</v>
      </c>
      <c r="Q175" s="579">
        <v>0</v>
      </c>
      <c r="R175" s="579">
        <v>0</v>
      </c>
      <c r="S175" s="579">
        <v>0</v>
      </c>
      <c r="T175" s="579">
        <v>0</v>
      </c>
      <c r="U175" s="579">
        <v>0</v>
      </c>
      <c r="V175" s="579">
        <v>0</v>
      </c>
      <c r="W175" s="579">
        <v>0</v>
      </c>
      <c r="X175" s="579">
        <v>0</v>
      </c>
      <c r="Y175" s="579">
        <v>0</v>
      </c>
      <c r="Z175" s="579">
        <v>0</v>
      </c>
    </row>
    <row r="176" spans="1:26">
      <c r="A176" s="817"/>
      <c r="B176" s="818"/>
      <c r="C176" s="818"/>
      <c r="D176" s="64">
        <v>5</v>
      </c>
      <c r="E176" s="61">
        <f t="shared" si="18"/>
        <v>0</v>
      </c>
      <c r="F176" s="579">
        <v>0</v>
      </c>
      <c r="G176" s="579">
        <v>0</v>
      </c>
      <c r="H176" s="579">
        <v>0</v>
      </c>
      <c r="I176" s="579">
        <v>0</v>
      </c>
      <c r="J176" s="579">
        <v>0</v>
      </c>
      <c r="K176" s="579">
        <v>0</v>
      </c>
      <c r="L176" s="579">
        <v>0</v>
      </c>
      <c r="M176" s="579">
        <v>0</v>
      </c>
      <c r="N176" s="579">
        <v>0</v>
      </c>
      <c r="O176" s="579">
        <v>0</v>
      </c>
      <c r="P176" s="579">
        <v>0</v>
      </c>
      <c r="Q176" s="579">
        <v>0</v>
      </c>
      <c r="R176" s="579">
        <v>0</v>
      </c>
      <c r="S176" s="579">
        <v>0</v>
      </c>
      <c r="T176" s="579">
        <v>0</v>
      </c>
      <c r="U176" s="579">
        <v>0</v>
      </c>
      <c r="V176" s="579">
        <v>0</v>
      </c>
      <c r="W176" s="579">
        <v>0</v>
      </c>
      <c r="X176" s="579">
        <v>0</v>
      </c>
      <c r="Y176" s="579">
        <v>0</v>
      </c>
      <c r="Z176" s="579">
        <v>0</v>
      </c>
    </row>
    <row r="177" spans="1:26">
      <c r="A177" s="817"/>
      <c r="B177" s="818"/>
      <c r="C177" s="818"/>
      <c r="D177" s="64">
        <v>6</v>
      </c>
      <c r="E177" s="61">
        <f t="shared" si="18"/>
        <v>0</v>
      </c>
      <c r="F177" s="579">
        <v>0</v>
      </c>
      <c r="G177" s="579">
        <v>0</v>
      </c>
      <c r="H177" s="579">
        <v>0</v>
      </c>
      <c r="I177" s="579">
        <v>0</v>
      </c>
      <c r="J177" s="579">
        <v>0</v>
      </c>
      <c r="K177" s="579">
        <v>0</v>
      </c>
      <c r="L177" s="579">
        <v>0</v>
      </c>
      <c r="M177" s="579">
        <v>0</v>
      </c>
      <c r="N177" s="579">
        <v>0</v>
      </c>
      <c r="O177" s="579">
        <v>0</v>
      </c>
      <c r="P177" s="579">
        <v>0</v>
      </c>
      <c r="Q177" s="579">
        <v>0</v>
      </c>
      <c r="R177" s="579">
        <v>0</v>
      </c>
      <c r="S177" s="579">
        <v>0</v>
      </c>
      <c r="T177" s="579">
        <v>0</v>
      </c>
      <c r="U177" s="579">
        <v>0</v>
      </c>
      <c r="V177" s="579">
        <v>0</v>
      </c>
      <c r="W177" s="579">
        <v>0</v>
      </c>
      <c r="X177" s="579">
        <v>0</v>
      </c>
      <c r="Y177" s="579">
        <v>0</v>
      </c>
      <c r="Z177" s="579">
        <v>0</v>
      </c>
    </row>
    <row r="178" spans="1:26">
      <c r="A178" s="817"/>
      <c r="B178" s="818"/>
      <c r="C178" s="818"/>
      <c r="D178" s="64">
        <v>7</v>
      </c>
      <c r="E178" s="61">
        <f t="shared" si="18"/>
        <v>0</v>
      </c>
      <c r="F178" s="579">
        <v>0</v>
      </c>
      <c r="G178" s="579">
        <v>0</v>
      </c>
      <c r="H178" s="579">
        <v>0</v>
      </c>
      <c r="I178" s="579">
        <v>0</v>
      </c>
      <c r="J178" s="579">
        <v>0</v>
      </c>
      <c r="K178" s="579">
        <v>0</v>
      </c>
      <c r="L178" s="579">
        <v>0</v>
      </c>
      <c r="M178" s="579">
        <v>0</v>
      </c>
      <c r="N178" s="579">
        <v>0</v>
      </c>
      <c r="O178" s="579">
        <v>0</v>
      </c>
      <c r="P178" s="579">
        <v>0</v>
      </c>
      <c r="Q178" s="579">
        <v>0</v>
      </c>
      <c r="R178" s="579">
        <v>0</v>
      </c>
      <c r="S178" s="579">
        <v>0</v>
      </c>
      <c r="T178" s="579">
        <v>0</v>
      </c>
      <c r="U178" s="579">
        <v>0</v>
      </c>
      <c r="V178" s="579">
        <v>0</v>
      </c>
      <c r="W178" s="579">
        <v>0</v>
      </c>
      <c r="X178" s="579">
        <v>0</v>
      </c>
      <c r="Y178" s="579">
        <v>0</v>
      </c>
      <c r="Z178" s="579">
        <v>0</v>
      </c>
    </row>
    <row r="179" spans="1:26">
      <c r="A179" s="817"/>
      <c r="B179" s="818"/>
      <c r="C179" s="818"/>
      <c r="D179" s="64">
        <v>8</v>
      </c>
      <c r="E179" s="61">
        <f t="shared" si="18"/>
        <v>0</v>
      </c>
      <c r="F179" s="579">
        <v>0</v>
      </c>
      <c r="G179" s="579">
        <v>0</v>
      </c>
      <c r="H179" s="579">
        <v>0</v>
      </c>
      <c r="I179" s="579">
        <v>0</v>
      </c>
      <c r="J179" s="579">
        <v>0</v>
      </c>
      <c r="K179" s="579">
        <v>0</v>
      </c>
      <c r="L179" s="579">
        <v>0</v>
      </c>
      <c r="M179" s="579">
        <v>0</v>
      </c>
      <c r="N179" s="579">
        <v>0</v>
      </c>
      <c r="O179" s="579">
        <v>0</v>
      </c>
      <c r="P179" s="579">
        <v>0</v>
      </c>
      <c r="Q179" s="579">
        <v>0</v>
      </c>
      <c r="R179" s="579">
        <v>0</v>
      </c>
      <c r="S179" s="579">
        <v>0</v>
      </c>
      <c r="T179" s="579">
        <v>0</v>
      </c>
      <c r="U179" s="579">
        <v>0</v>
      </c>
      <c r="V179" s="579">
        <v>0</v>
      </c>
      <c r="W179" s="579">
        <v>0</v>
      </c>
      <c r="X179" s="579">
        <v>0</v>
      </c>
      <c r="Y179" s="579">
        <v>0</v>
      </c>
      <c r="Z179" s="579">
        <v>0</v>
      </c>
    </row>
    <row r="180" spans="1:26">
      <c r="A180" s="817"/>
      <c r="B180" s="818"/>
      <c r="C180" s="818"/>
      <c r="D180" s="64">
        <v>9</v>
      </c>
      <c r="E180" s="61">
        <f t="shared" si="18"/>
        <v>0</v>
      </c>
      <c r="F180" s="579">
        <v>0</v>
      </c>
      <c r="G180" s="579">
        <v>0</v>
      </c>
      <c r="H180" s="579">
        <v>0</v>
      </c>
      <c r="I180" s="579">
        <v>0</v>
      </c>
      <c r="J180" s="579">
        <v>0</v>
      </c>
      <c r="K180" s="579">
        <v>0</v>
      </c>
      <c r="L180" s="579">
        <v>0</v>
      </c>
      <c r="M180" s="579">
        <v>0</v>
      </c>
      <c r="N180" s="579">
        <v>0</v>
      </c>
      <c r="O180" s="579">
        <v>0</v>
      </c>
      <c r="P180" s="579">
        <v>0</v>
      </c>
      <c r="Q180" s="579">
        <v>0</v>
      </c>
      <c r="R180" s="579">
        <v>0</v>
      </c>
      <c r="S180" s="579">
        <v>0</v>
      </c>
      <c r="T180" s="579">
        <v>0</v>
      </c>
      <c r="U180" s="579">
        <v>0</v>
      </c>
      <c r="V180" s="579">
        <v>0</v>
      </c>
      <c r="W180" s="579">
        <v>0</v>
      </c>
      <c r="X180" s="579">
        <v>0</v>
      </c>
      <c r="Y180" s="579">
        <v>0</v>
      </c>
      <c r="Z180" s="579">
        <v>0</v>
      </c>
    </row>
    <row r="181" spans="1:26" ht="15.75" thickBot="1">
      <c r="A181" s="817"/>
      <c r="B181" s="818"/>
      <c r="C181" s="818"/>
      <c r="D181" s="65">
        <v>10</v>
      </c>
      <c r="E181" s="62">
        <f t="shared" si="18"/>
        <v>0</v>
      </c>
      <c r="F181" s="580">
        <v>0</v>
      </c>
      <c r="G181" s="580">
        <v>0</v>
      </c>
      <c r="H181" s="580">
        <v>0</v>
      </c>
      <c r="I181" s="580">
        <v>0</v>
      </c>
      <c r="J181" s="580">
        <v>0</v>
      </c>
      <c r="K181" s="580">
        <v>0</v>
      </c>
      <c r="L181" s="580">
        <v>0</v>
      </c>
      <c r="M181" s="580">
        <v>0</v>
      </c>
      <c r="N181" s="580">
        <v>0</v>
      </c>
      <c r="O181" s="580">
        <v>0</v>
      </c>
      <c r="P181" s="580">
        <v>0</v>
      </c>
      <c r="Q181" s="580">
        <v>0</v>
      </c>
      <c r="R181" s="580">
        <v>0</v>
      </c>
      <c r="S181" s="580">
        <v>0</v>
      </c>
      <c r="T181" s="580">
        <v>0</v>
      </c>
      <c r="U181" s="580">
        <v>0</v>
      </c>
      <c r="V181" s="580">
        <v>0</v>
      </c>
      <c r="W181" s="580">
        <v>0</v>
      </c>
      <c r="X181" s="580">
        <v>0</v>
      </c>
      <c r="Y181" s="580">
        <v>0</v>
      </c>
      <c r="Z181" s="580">
        <v>0</v>
      </c>
    </row>
    <row r="182" spans="1:26">
      <c r="A182" s="817" t="s">
        <v>1524</v>
      </c>
      <c r="B182" s="818"/>
      <c r="C182" s="818">
        <v>637031</v>
      </c>
      <c r="D182" s="63">
        <v>1</v>
      </c>
      <c r="E182" s="61">
        <f t="shared" si="18"/>
        <v>0</v>
      </c>
      <c r="F182" s="578">
        <v>0</v>
      </c>
      <c r="G182" s="578">
        <v>0</v>
      </c>
      <c r="H182" s="578">
        <v>0</v>
      </c>
      <c r="I182" s="578">
        <v>0</v>
      </c>
      <c r="J182" s="578">
        <v>0</v>
      </c>
      <c r="K182" s="578">
        <v>0</v>
      </c>
      <c r="L182" s="578">
        <v>0</v>
      </c>
      <c r="M182" s="578">
        <v>0</v>
      </c>
      <c r="N182" s="578">
        <v>0</v>
      </c>
      <c r="O182" s="578">
        <v>0</v>
      </c>
      <c r="P182" s="578">
        <v>0</v>
      </c>
      <c r="Q182" s="578">
        <v>0</v>
      </c>
      <c r="R182" s="578">
        <v>0</v>
      </c>
      <c r="S182" s="578">
        <v>0</v>
      </c>
      <c r="T182" s="578">
        <v>0</v>
      </c>
      <c r="U182" s="578">
        <v>0</v>
      </c>
      <c r="V182" s="578">
        <v>0</v>
      </c>
      <c r="W182" s="578">
        <v>0</v>
      </c>
      <c r="X182" s="578">
        <v>0</v>
      </c>
      <c r="Y182" s="578">
        <v>0</v>
      </c>
      <c r="Z182" s="578">
        <v>0</v>
      </c>
    </row>
    <row r="183" spans="1:26">
      <c r="A183" s="817"/>
      <c r="B183" s="818"/>
      <c r="C183" s="818"/>
      <c r="D183" s="64">
        <v>2</v>
      </c>
      <c r="E183" s="61">
        <f t="shared" si="18"/>
        <v>0</v>
      </c>
      <c r="F183" s="579">
        <v>0</v>
      </c>
      <c r="G183" s="579">
        <v>0</v>
      </c>
      <c r="H183" s="579">
        <v>0</v>
      </c>
      <c r="I183" s="579">
        <v>0</v>
      </c>
      <c r="J183" s="579">
        <v>0</v>
      </c>
      <c r="K183" s="579">
        <v>0</v>
      </c>
      <c r="L183" s="579">
        <v>0</v>
      </c>
      <c r="M183" s="579">
        <v>0</v>
      </c>
      <c r="N183" s="579">
        <v>0</v>
      </c>
      <c r="O183" s="579">
        <v>0</v>
      </c>
      <c r="P183" s="579">
        <v>0</v>
      </c>
      <c r="Q183" s="579">
        <v>0</v>
      </c>
      <c r="R183" s="579">
        <v>0</v>
      </c>
      <c r="S183" s="579">
        <v>0</v>
      </c>
      <c r="T183" s="579">
        <v>0</v>
      </c>
      <c r="U183" s="579">
        <v>0</v>
      </c>
      <c r="V183" s="579">
        <v>0</v>
      </c>
      <c r="W183" s="579">
        <v>0</v>
      </c>
      <c r="X183" s="579">
        <v>0</v>
      </c>
      <c r="Y183" s="579">
        <v>0</v>
      </c>
      <c r="Z183" s="579">
        <v>0</v>
      </c>
    </row>
    <row r="184" spans="1:26">
      <c r="A184" s="817"/>
      <c r="B184" s="818"/>
      <c r="C184" s="818"/>
      <c r="D184" s="64">
        <v>3</v>
      </c>
      <c r="E184" s="61">
        <f t="shared" si="18"/>
        <v>0</v>
      </c>
      <c r="F184" s="579">
        <v>0</v>
      </c>
      <c r="G184" s="579">
        <v>0</v>
      </c>
      <c r="H184" s="579">
        <v>0</v>
      </c>
      <c r="I184" s="579">
        <v>0</v>
      </c>
      <c r="J184" s="579">
        <v>0</v>
      </c>
      <c r="K184" s="579">
        <v>0</v>
      </c>
      <c r="L184" s="579">
        <v>0</v>
      </c>
      <c r="M184" s="579">
        <v>0</v>
      </c>
      <c r="N184" s="579">
        <v>0</v>
      </c>
      <c r="O184" s="579">
        <v>0</v>
      </c>
      <c r="P184" s="579">
        <v>0</v>
      </c>
      <c r="Q184" s="579">
        <v>0</v>
      </c>
      <c r="R184" s="579">
        <v>0</v>
      </c>
      <c r="S184" s="579">
        <v>0</v>
      </c>
      <c r="T184" s="579">
        <v>0</v>
      </c>
      <c r="U184" s="579">
        <v>0</v>
      </c>
      <c r="V184" s="579">
        <v>0</v>
      </c>
      <c r="W184" s="579">
        <v>0</v>
      </c>
      <c r="X184" s="579">
        <v>0</v>
      </c>
      <c r="Y184" s="579">
        <v>0</v>
      </c>
      <c r="Z184" s="579">
        <v>0</v>
      </c>
    </row>
    <row r="185" spans="1:26">
      <c r="A185" s="817"/>
      <c r="B185" s="818"/>
      <c r="C185" s="818"/>
      <c r="D185" s="64">
        <v>4</v>
      </c>
      <c r="E185" s="61">
        <f t="shared" si="18"/>
        <v>0</v>
      </c>
      <c r="F185" s="579">
        <v>0</v>
      </c>
      <c r="G185" s="579">
        <v>0</v>
      </c>
      <c r="H185" s="579">
        <v>0</v>
      </c>
      <c r="I185" s="579">
        <v>0</v>
      </c>
      <c r="J185" s="579">
        <v>0</v>
      </c>
      <c r="K185" s="579">
        <v>0</v>
      </c>
      <c r="L185" s="579">
        <v>0</v>
      </c>
      <c r="M185" s="579">
        <v>0</v>
      </c>
      <c r="N185" s="579">
        <v>0</v>
      </c>
      <c r="O185" s="579">
        <v>0</v>
      </c>
      <c r="P185" s="579">
        <v>0</v>
      </c>
      <c r="Q185" s="579">
        <v>0</v>
      </c>
      <c r="R185" s="579">
        <v>0</v>
      </c>
      <c r="S185" s="579">
        <v>0</v>
      </c>
      <c r="T185" s="579">
        <v>0</v>
      </c>
      <c r="U185" s="579">
        <v>0</v>
      </c>
      <c r="V185" s="579">
        <v>0</v>
      </c>
      <c r="W185" s="579">
        <v>0</v>
      </c>
      <c r="X185" s="579">
        <v>0</v>
      </c>
      <c r="Y185" s="579">
        <v>0</v>
      </c>
      <c r="Z185" s="579">
        <v>0</v>
      </c>
    </row>
    <row r="186" spans="1:26">
      <c r="A186" s="817"/>
      <c r="B186" s="818"/>
      <c r="C186" s="818"/>
      <c r="D186" s="64">
        <v>5</v>
      </c>
      <c r="E186" s="61">
        <f t="shared" si="18"/>
        <v>0</v>
      </c>
      <c r="F186" s="579">
        <v>0</v>
      </c>
      <c r="G186" s="579">
        <v>0</v>
      </c>
      <c r="H186" s="579">
        <v>0</v>
      </c>
      <c r="I186" s="579">
        <v>0</v>
      </c>
      <c r="J186" s="579">
        <v>0</v>
      </c>
      <c r="K186" s="579">
        <v>0</v>
      </c>
      <c r="L186" s="579">
        <v>0</v>
      </c>
      <c r="M186" s="579">
        <v>0</v>
      </c>
      <c r="N186" s="579">
        <v>0</v>
      </c>
      <c r="O186" s="579">
        <v>0</v>
      </c>
      <c r="P186" s="579">
        <v>0</v>
      </c>
      <c r="Q186" s="579">
        <v>0</v>
      </c>
      <c r="R186" s="579">
        <v>0</v>
      </c>
      <c r="S186" s="579">
        <v>0</v>
      </c>
      <c r="T186" s="579">
        <v>0</v>
      </c>
      <c r="U186" s="579">
        <v>0</v>
      </c>
      <c r="V186" s="579">
        <v>0</v>
      </c>
      <c r="W186" s="579">
        <v>0</v>
      </c>
      <c r="X186" s="579">
        <v>0</v>
      </c>
      <c r="Y186" s="579">
        <v>0</v>
      </c>
      <c r="Z186" s="579">
        <v>0</v>
      </c>
    </row>
    <row r="187" spans="1:26">
      <c r="A187" s="817"/>
      <c r="B187" s="818"/>
      <c r="C187" s="818"/>
      <c r="D187" s="64">
        <v>6</v>
      </c>
      <c r="E187" s="61">
        <f t="shared" si="18"/>
        <v>0</v>
      </c>
      <c r="F187" s="579">
        <v>0</v>
      </c>
      <c r="G187" s="579">
        <v>0</v>
      </c>
      <c r="H187" s="579">
        <v>0</v>
      </c>
      <c r="I187" s="579">
        <v>0</v>
      </c>
      <c r="J187" s="579">
        <v>0</v>
      </c>
      <c r="K187" s="579">
        <v>0</v>
      </c>
      <c r="L187" s="579">
        <v>0</v>
      </c>
      <c r="M187" s="579">
        <v>0</v>
      </c>
      <c r="N187" s="579">
        <v>0</v>
      </c>
      <c r="O187" s="579">
        <v>0</v>
      </c>
      <c r="P187" s="579">
        <v>0</v>
      </c>
      <c r="Q187" s="579">
        <v>0</v>
      </c>
      <c r="R187" s="579">
        <v>0</v>
      </c>
      <c r="S187" s="579">
        <v>0</v>
      </c>
      <c r="T187" s="579">
        <v>0</v>
      </c>
      <c r="U187" s="579">
        <v>0</v>
      </c>
      <c r="V187" s="579">
        <v>0</v>
      </c>
      <c r="W187" s="579">
        <v>0</v>
      </c>
      <c r="X187" s="579">
        <v>0</v>
      </c>
      <c r="Y187" s="579">
        <v>0</v>
      </c>
      <c r="Z187" s="579">
        <v>0</v>
      </c>
    </row>
    <row r="188" spans="1:26">
      <c r="A188" s="817"/>
      <c r="B188" s="818"/>
      <c r="C188" s="818"/>
      <c r="D188" s="64">
        <v>7</v>
      </c>
      <c r="E188" s="61">
        <f t="shared" si="18"/>
        <v>0</v>
      </c>
      <c r="F188" s="579">
        <v>0</v>
      </c>
      <c r="G188" s="579">
        <v>0</v>
      </c>
      <c r="H188" s="579">
        <v>0</v>
      </c>
      <c r="I188" s="579">
        <v>0</v>
      </c>
      <c r="J188" s="579">
        <v>0</v>
      </c>
      <c r="K188" s="579">
        <v>0</v>
      </c>
      <c r="L188" s="579">
        <v>0</v>
      </c>
      <c r="M188" s="579">
        <v>0</v>
      </c>
      <c r="N188" s="579">
        <v>0</v>
      </c>
      <c r="O188" s="579">
        <v>0</v>
      </c>
      <c r="P188" s="579">
        <v>0</v>
      </c>
      <c r="Q188" s="579">
        <v>0</v>
      </c>
      <c r="R188" s="579">
        <v>0</v>
      </c>
      <c r="S188" s="579">
        <v>0</v>
      </c>
      <c r="T188" s="579">
        <v>0</v>
      </c>
      <c r="U188" s="579">
        <v>0</v>
      </c>
      <c r="V188" s="579">
        <v>0</v>
      </c>
      <c r="W188" s="579">
        <v>0</v>
      </c>
      <c r="X188" s="579">
        <v>0</v>
      </c>
      <c r="Y188" s="579">
        <v>0</v>
      </c>
      <c r="Z188" s="579">
        <v>0</v>
      </c>
    </row>
    <row r="189" spans="1:26">
      <c r="A189" s="817"/>
      <c r="B189" s="818"/>
      <c r="C189" s="818"/>
      <c r="D189" s="64">
        <v>8</v>
      </c>
      <c r="E189" s="61">
        <f t="shared" si="18"/>
        <v>0</v>
      </c>
      <c r="F189" s="579">
        <v>0</v>
      </c>
      <c r="G189" s="579">
        <v>0</v>
      </c>
      <c r="H189" s="579">
        <v>0</v>
      </c>
      <c r="I189" s="579">
        <v>0</v>
      </c>
      <c r="J189" s="579">
        <v>0</v>
      </c>
      <c r="K189" s="579">
        <v>0</v>
      </c>
      <c r="L189" s="579">
        <v>0</v>
      </c>
      <c r="M189" s="579">
        <v>0</v>
      </c>
      <c r="N189" s="579">
        <v>0</v>
      </c>
      <c r="O189" s="579">
        <v>0</v>
      </c>
      <c r="P189" s="579">
        <v>0</v>
      </c>
      <c r="Q189" s="579">
        <v>0</v>
      </c>
      <c r="R189" s="579">
        <v>0</v>
      </c>
      <c r="S189" s="579">
        <v>0</v>
      </c>
      <c r="T189" s="579">
        <v>0</v>
      </c>
      <c r="U189" s="579">
        <v>0</v>
      </c>
      <c r="V189" s="579">
        <v>0</v>
      </c>
      <c r="W189" s="579">
        <v>0</v>
      </c>
      <c r="X189" s="579">
        <v>0</v>
      </c>
      <c r="Y189" s="579">
        <v>0</v>
      </c>
      <c r="Z189" s="579">
        <v>0</v>
      </c>
    </row>
    <row r="190" spans="1:26">
      <c r="A190" s="817"/>
      <c r="B190" s="818"/>
      <c r="C190" s="818"/>
      <c r="D190" s="64">
        <v>9</v>
      </c>
      <c r="E190" s="61">
        <f t="shared" si="18"/>
        <v>0</v>
      </c>
      <c r="F190" s="579">
        <v>0</v>
      </c>
      <c r="G190" s="579">
        <v>0</v>
      </c>
      <c r="H190" s="579">
        <v>0</v>
      </c>
      <c r="I190" s="579">
        <v>0</v>
      </c>
      <c r="J190" s="579">
        <v>0</v>
      </c>
      <c r="K190" s="579">
        <v>0</v>
      </c>
      <c r="L190" s="579">
        <v>0</v>
      </c>
      <c r="M190" s="579">
        <v>0</v>
      </c>
      <c r="N190" s="579">
        <v>0</v>
      </c>
      <c r="O190" s="579">
        <v>0</v>
      </c>
      <c r="P190" s="579">
        <v>0</v>
      </c>
      <c r="Q190" s="579">
        <v>0</v>
      </c>
      <c r="R190" s="579">
        <v>0</v>
      </c>
      <c r="S190" s="579">
        <v>0</v>
      </c>
      <c r="T190" s="579">
        <v>0</v>
      </c>
      <c r="U190" s="579">
        <v>0</v>
      </c>
      <c r="V190" s="579">
        <v>0</v>
      </c>
      <c r="W190" s="579">
        <v>0</v>
      </c>
      <c r="X190" s="579">
        <v>0</v>
      </c>
      <c r="Y190" s="579">
        <v>0</v>
      </c>
      <c r="Z190" s="579">
        <v>0</v>
      </c>
    </row>
    <row r="191" spans="1:26" ht="15.75" thickBot="1">
      <c r="A191" s="817"/>
      <c r="B191" s="818"/>
      <c r="C191" s="818"/>
      <c r="D191" s="65">
        <v>10</v>
      </c>
      <c r="E191" s="62">
        <f t="shared" si="18"/>
        <v>0</v>
      </c>
      <c r="F191" s="580">
        <v>0</v>
      </c>
      <c r="G191" s="580">
        <v>0</v>
      </c>
      <c r="H191" s="580">
        <v>0</v>
      </c>
      <c r="I191" s="580">
        <v>0</v>
      </c>
      <c r="J191" s="580">
        <v>0</v>
      </c>
      <c r="K191" s="580">
        <v>0</v>
      </c>
      <c r="L191" s="580">
        <v>0</v>
      </c>
      <c r="M191" s="580">
        <v>0</v>
      </c>
      <c r="N191" s="580">
        <v>0</v>
      </c>
      <c r="O191" s="580">
        <v>0</v>
      </c>
      <c r="P191" s="580">
        <v>0</v>
      </c>
      <c r="Q191" s="580">
        <v>0</v>
      </c>
      <c r="R191" s="580">
        <v>0</v>
      </c>
      <c r="S191" s="580">
        <v>0</v>
      </c>
      <c r="T191" s="580">
        <v>0</v>
      </c>
      <c r="U191" s="580">
        <v>0</v>
      </c>
      <c r="V191" s="580">
        <v>0</v>
      </c>
      <c r="W191" s="580">
        <v>0</v>
      </c>
      <c r="X191" s="580">
        <v>0</v>
      </c>
      <c r="Y191" s="580">
        <v>0</v>
      </c>
      <c r="Z191" s="580">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F18" sqref="F18"/>
    </sheetView>
  </sheetViews>
  <sheetFormatPr defaultColWidth="8.85546875" defaultRowHeight="15" outlineLevelRow="1" outlineLevelCol="1"/>
  <cols>
    <col min="1" max="1" width="22.42578125" customWidth="1"/>
    <col min="2" max="2" width="23.28515625" customWidth="1"/>
    <col min="3" max="3" width="22.42578125" customWidth="1"/>
    <col min="4" max="4" width="8.85546875" style="195"/>
    <col min="5" max="5" width="17.85546875" customWidth="1"/>
    <col min="6" max="25" width="18.7109375" customWidth="1" outlineLevel="1"/>
    <col min="26" max="26" width="18.7109375" customWidth="1"/>
    <col min="28" max="28" width="10.7109375" bestFit="1" customWidth="1"/>
  </cols>
  <sheetData>
    <row r="1" spans="1:26" ht="28.5">
      <c r="A1" s="833"/>
      <c r="B1" s="833"/>
      <c r="C1" s="833"/>
      <c r="D1" s="833"/>
      <c r="F1" s="832" t="s">
        <v>226</v>
      </c>
      <c r="G1" s="832"/>
      <c r="H1" s="832"/>
      <c r="I1" s="832"/>
      <c r="J1" s="832"/>
      <c r="K1" s="832"/>
      <c r="L1" s="832"/>
      <c r="M1" s="832"/>
      <c r="N1" s="832"/>
      <c r="O1" s="832"/>
      <c r="P1" s="832"/>
      <c r="Q1" s="832"/>
      <c r="R1" s="832"/>
      <c r="S1" s="832"/>
      <c r="T1" s="832"/>
      <c r="U1" s="832"/>
      <c r="V1" s="832"/>
      <c r="W1" s="832"/>
      <c r="X1" s="832"/>
      <c r="Y1" s="832"/>
      <c r="Z1" s="832"/>
    </row>
    <row r="2" spans="1:26" ht="36" customHeight="1" thickBot="1">
      <c r="A2" s="819" t="s">
        <v>1507</v>
      </c>
      <c r="B2" s="819"/>
      <c r="C2" s="819"/>
      <c r="D2" s="820"/>
      <c r="E2" s="66" t="s">
        <v>150</v>
      </c>
      <c r="F2" s="570" t="str">
        <f>MODULY_CBA!B3</f>
        <v>Adaptér core banking služieb</v>
      </c>
      <c r="G2" s="570" t="str">
        <f>MODULY_CBA!$B4</f>
        <v>Autentifikačný modul</v>
      </c>
      <c r="H2" s="570" t="str">
        <f>MODULY_CBA!$B5</f>
        <v>Mobilná aplikácia - autentifikácia</v>
      </c>
      <c r="I2" s="570" t="str">
        <f>MODULY_CBA!$B6</f>
        <v>KYC</v>
      </c>
      <c r="J2" s="570" t="str">
        <f>MODULY_CBA!$B7</f>
        <v>Webový portál ŠP</v>
      </c>
      <c r="K2" s="570" t="str">
        <f>MODULY_CBA!$B8</f>
        <v>OpenAPI</v>
      </c>
      <c r="L2" s="570" t="str">
        <f>MODULY_CBA!$B9</f>
        <v>Modul platobných funkcionalít</v>
      </c>
      <c r="M2" s="570" t="str">
        <f>MODULY_CBA!$B10</f>
        <v>Modul všeobecných funkcionalít</v>
      </c>
      <c r="N2" s="570" t="str">
        <f>MODULY_CBA!$B11</f>
        <v>Mobilná aplikácia - autorizácia a notifikácie</v>
      </c>
      <c r="O2" s="570" t="str">
        <f>MODULY_CBA!$B12</f>
        <v>Modul rozpočtových funkcionalít</v>
      </c>
      <c r="P2" s="570" t="str">
        <f>MODULY_CBA!$B13</f>
        <v>Migrácia do RPC</v>
      </c>
      <c r="Q2" s="570">
        <f>MODULY_CBA!$B14</f>
        <v>0</v>
      </c>
      <c r="R2" s="570">
        <f>MODULY_CBA!$B15</f>
        <v>0</v>
      </c>
      <c r="S2" s="570">
        <f>MODULY_CBA!$B16</f>
        <v>0</v>
      </c>
      <c r="T2" s="570">
        <f>MODULY_CBA!$B17</f>
        <v>0</v>
      </c>
      <c r="U2" s="570">
        <f>MODULY_CBA!$B18</f>
        <v>0</v>
      </c>
      <c r="V2" s="570">
        <f>MODULY_CBA!$B19</f>
        <v>0</v>
      </c>
      <c r="W2" s="570">
        <f>MODULY_CBA!$B20</f>
        <v>0</v>
      </c>
      <c r="X2" s="570">
        <f>MODULY_CBA!$B21</f>
        <v>0</v>
      </c>
      <c r="Y2" s="570">
        <f>MODULY_CBA!$B22</f>
        <v>0</v>
      </c>
      <c r="Z2" s="570">
        <f>MODULY_CBA!$B23</f>
        <v>0</v>
      </c>
    </row>
    <row r="3" spans="1:26" ht="15.75" thickBot="1">
      <c r="A3" s="36" t="s">
        <v>1491</v>
      </c>
      <c r="B3" s="70" t="s">
        <v>1492</v>
      </c>
      <c r="C3" s="70" t="s">
        <v>1493</v>
      </c>
      <c r="D3" s="155" t="s">
        <v>160</v>
      </c>
      <c r="E3" s="17"/>
      <c r="F3" s="17"/>
      <c r="G3" s="17"/>
      <c r="H3" s="17"/>
      <c r="I3" s="17"/>
      <c r="J3" s="17"/>
      <c r="K3" s="17"/>
      <c r="L3" s="17"/>
      <c r="M3" s="17"/>
      <c r="N3" s="17"/>
      <c r="O3" s="17"/>
      <c r="P3" s="17"/>
      <c r="Q3" s="17"/>
      <c r="R3" s="17"/>
      <c r="S3" s="17"/>
      <c r="T3" s="17"/>
      <c r="U3" s="17"/>
      <c r="V3" s="17"/>
      <c r="W3" s="17"/>
      <c r="X3" s="17"/>
      <c r="Y3" s="17"/>
      <c r="Z3" s="17"/>
    </row>
    <row r="4" spans="1:26" ht="15.75" thickBot="1">
      <c r="A4" s="830" t="s">
        <v>1525</v>
      </c>
      <c r="B4" s="830"/>
      <c r="C4" s="830"/>
      <c r="D4" s="587"/>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17" t="s">
        <v>1526</v>
      </c>
      <c r="B5" s="817" t="s">
        <v>1527</v>
      </c>
      <c r="C5" s="818">
        <v>713002</v>
      </c>
      <c r="D5" s="493">
        <v>1</v>
      </c>
      <c r="E5" s="67">
        <f t="shared" ref="E5:E54" si="2">SUM(F5:Z5)</f>
        <v>0</v>
      </c>
      <c r="F5" s="574">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74">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74">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74">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74">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74">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74">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74">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74">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74">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74">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74">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74">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74">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74">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74">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74">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74">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74">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74">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74">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817"/>
      <c r="B6" s="818"/>
      <c r="C6" s="818"/>
      <c r="D6" s="494">
        <v>2</v>
      </c>
      <c r="E6" s="68">
        <f t="shared" si="2"/>
        <v>0</v>
      </c>
      <c r="F6" s="574">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74">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74">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74">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74">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74">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74">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74">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74">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74">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74">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74">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74">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74">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74">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74">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74">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74">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74">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74">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74">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817"/>
      <c r="B7" s="818"/>
      <c r="C7" s="818"/>
      <c r="D7" s="494">
        <v>3</v>
      </c>
      <c r="E7" s="68">
        <f t="shared" si="2"/>
        <v>0</v>
      </c>
      <c r="F7" s="574">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74">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74">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74">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74">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74">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74">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74">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74">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74">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74">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74">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74">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74">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74">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74">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74">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74">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74">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74">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74">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817"/>
      <c r="B8" s="818"/>
      <c r="C8" s="818"/>
      <c r="D8" s="494">
        <v>4</v>
      </c>
      <c r="E8" s="68">
        <f t="shared" si="2"/>
        <v>0</v>
      </c>
      <c r="F8" s="574">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74">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74">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74">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74">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74">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74">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74">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74">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74">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74">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74">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74">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74">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74">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74">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74">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74">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74">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74">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74">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817"/>
      <c r="B9" s="818"/>
      <c r="C9" s="818"/>
      <c r="D9" s="494">
        <v>5</v>
      </c>
      <c r="E9" s="68">
        <f t="shared" si="2"/>
        <v>0</v>
      </c>
      <c r="F9" s="574">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74">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74">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74">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74">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74">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74">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74">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74">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74">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74">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74">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74">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74">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74">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74">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74">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74">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74">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74">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74">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817"/>
      <c r="B10" s="818"/>
      <c r="C10" s="818"/>
      <c r="D10" s="494">
        <v>6</v>
      </c>
      <c r="E10" s="68">
        <f t="shared" si="2"/>
        <v>0</v>
      </c>
      <c r="F10" s="574">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74">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74">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74">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74">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74">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74">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74">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74">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74">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74">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74">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74">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74">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74">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74">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74">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74">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74">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74">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74">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817"/>
      <c r="B11" s="818"/>
      <c r="C11" s="818"/>
      <c r="D11" s="494">
        <v>7</v>
      </c>
      <c r="E11" s="68">
        <f t="shared" si="2"/>
        <v>0</v>
      </c>
      <c r="F11" s="574">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74">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74">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74">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74">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74">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74">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74">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74">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74">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74">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74">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74">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74">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74">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74">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74">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74">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74">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74">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74">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817"/>
      <c r="B12" s="818"/>
      <c r="C12" s="818"/>
      <c r="D12" s="494">
        <v>8</v>
      </c>
      <c r="E12" s="68">
        <f t="shared" si="2"/>
        <v>0</v>
      </c>
      <c r="F12" s="574">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74">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74">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74">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74">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74">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74">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74">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74">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74">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74">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74">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74">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74">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74">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74">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74">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74">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74">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74">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74">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817"/>
      <c r="B13" s="818"/>
      <c r="C13" s="818"/>
      <c r="D13" s="494">
        <v>9</v>
      </c>
      <c r="E13" s="68">
        <f t="shared" si="2"/>
        <v>0</v>
      </c>
      <c r="F13" s="574">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74">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74">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74">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74">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74">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74">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74">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74">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74">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74">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74">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74">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74">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74">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74">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74">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74">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74">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74">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74">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75" outlineLevel="1" thickBot="1">
      <c r="A14" s="817"/>
      <c r="B14" s="818"/>
      <c r="C14" s="818"/>
      <c r="D14" s="495">
        <v>10</v>
      </c>
      <c r="E14" s="69">
        <f t="shared" si="2"/>
        <v>0</v>
      </c>
      <c r="F14" s="574">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74">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74">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74">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74">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74">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74">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74">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74">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74">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74">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74">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74">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74">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74">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74">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74">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74">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74">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74">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74">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817" t="s">
        <v>1528</v>
      </c>
      <c r="B15" s="817" t="s">
        <v>1529</v>
      </c>
      <c r="C15" s="818">
        <v>633002</v>
      </c>
      <c r="D15" s="493">
        <v>1</v>
      </c>
      <c r="E15" s="68">
        <f t="shared" si="2"/>
        <v>0</v>
      </c>
      <c r="F15" s="573">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73">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73">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73">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73">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73">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73">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73">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73">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73">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73">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73">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73">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73">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73">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73">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73">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73">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73">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73">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73">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817"/>
      <c r="B16" s="818"/>
      <c r="C16" s="818"/>
      <c r="D16" s="494">
        <v>2</v>
      </c>
      <c r="E16" s="68">
        <f t="shared" si="2"/>
        <v>0</v>
      </c>
      <c r="F16" s="574">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74">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74">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74">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74">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74">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74">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74">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74">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74">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74">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74">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74">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74">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74">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74">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74">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74">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74">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74">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74">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817"/>
      <c r="B17" s="818"/>
      <c r="C17" s="818"/>
      <c r="D17" s="494">
        <v>3</v>
      </c>
      <c r="E17" s="68">
        <f t="shared" si="2"/>
        <v>0</v>
      </c>
      <c r="F17" s="574">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74">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74">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74">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74">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74">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74">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74">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74">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74">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74">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74">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74">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74">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74">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74">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74">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74">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74">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74">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74">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817"/>
      <c r="B18" s="818"/>
      <c r="C18" s="818"/>
      <c r="D18" s="494">
        <v>4</v>
      </c>
      <c r="E18" s="68">
        <f t="shared" si="2"/>
        <v>0</v>
      </c>
      <c r="F18" s="574">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74">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74">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74">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74">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74">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74">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74">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74">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74">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74">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74">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74">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74">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74">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74">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74">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74">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74">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74">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74">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817"/>
      <c r="B19" s="818"/>
      <c r="C19" s="818"/>
      <c r="D19" s="494">
        <v>5</v>
      </c>
      <c r="E19" s="68">
        <f t="shared" si="2"/>
        <v>0</v>
      </c>
      <c r="F19" s="574">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74">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74">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74">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74">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74">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74">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74">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74">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74">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74">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74">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74">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74">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74">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74">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74">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74">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74">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74">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74">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817"/>
      <c r="B20" s="818"/>
      <c r="C20" s="818"/>
      <c r="D20" s="494">
        <v>6</v>
      </c>
      <c r="E20" s="68">
        <f t="shared" si="2"/>
        <v>0</v>
      </c>
      <c r="F20" s="574">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74">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74">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74">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74">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74">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74">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74">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74">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74">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74">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74">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74">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74">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74">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74">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74">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74">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74">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74">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74">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817"/>
      <c r="B21" s="818"/>
      <c r="C21" s="818"/>
      <c r="D21" s="494">
        <v>7</v>
      </c>
      <c r="E21" s="68">
        <f t="shared" si="2"/>
        <v>0</v>
      </c>
      <c r="F21" s="574">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74">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74">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74">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74">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74">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74">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74">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74">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74">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74">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74">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74">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74">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74">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74">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74">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74">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74">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74">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74">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817"/>
      <c r="B22" s="818"/>
      <c r="C22" s="818"/>
      <c r="D22" s="494">
        <v>8</v>
      </c>
      <c r="E22" s="68">
        <f t="shared" si="2"/>
        <v>0</v>
      </c>
      <c r="F22" s="574">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74">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74">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74">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74">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74">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74">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74">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74">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74">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74">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74">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74">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74">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74">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74">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74">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74">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74">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74">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74">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817"/>
      <c r="B23" s="818"/>
      <c r="C23" s="818"/>
      <c r="D23" s="494">
        <v>9</v>
      </c>
      <c r="E23" s="68">
        <f t="shared" si="2"/>
        <v>0</v>
      </c>
      <c r="F23" s="574">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74">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74">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74">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74">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74">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74">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74">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74">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74">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74">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74">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74">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74">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74">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74">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74">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74">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74">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74">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74">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75" outlineLevel="1" thickBot="1">
      <c r="A24" s="817"/>
      <c r="B24" s="818"/>
      <c r="C24" s="818"/>
      <c r="D24" s="495">
        <v>10</v>
      </c>
      <c r="E24" s="69">
        <f t="shared" si="2"/>
        <v>0</v>
      </c>
      <c r="F24" s="574">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75">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75">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75">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75">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75">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75">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75">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75">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75">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75">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75">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75">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75">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75">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75">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75">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75">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75">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75">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75">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817" t="s">
        <v>1530</v>
      </c>
      <c r="B25" s="818" t="s">
        <v>1506</v>
      </c>
      <c r="C25" s="818">
        <v>637040</v>
      </c>
      <c r="D25" s="493">
        <v>1</v>
      </c>
      <c r="E25" s="68">
        <f t="shared" ref="E25:E34" si="3">SUM(F25:Z25)</f>
        <v>0</v>
      </c>
      <c r="F25" s="576">
        <v>0</v>
      </c>
      <c r="G25" s="576">
        <v>0</v>
      </c>
      <c r="H25" s="576">
        <v>0</v>
      </c>
      <c r="I25" s="576">
        <v>0</v>
      </c>
      <c r="J25" s="576">
        <v>0</v>
      </c>
      <c r="K25" s="576">
        <v>0</v>
      </c>
      <c r="L25" s="576">
        <v>0</v>
      </c>
      <c r="M25" s="576">
        <v>0</v>
      </c>
      <c r="N25" s="576">
        <v>0</v>
      </c>
      <c r="O25" s="576">
        <v>0</v>
      </c>
      <c r="P25" s="576">
        <v>0</v>
      </c>
      <c r="Q25" s="576">
        <v>0</v>
      </c>
      <c r="R25" s="576">
        <v>0</v>
      </c>
      <c r="S25" s="576">
        <v>0</v>
      </c>
      <c r="T25" s="576">
        <v>0</v>
      </c>
      <c r="U25" s="576">
        <v>0</v>
      </c>
      <c r="V25" s="576">
        <v>0</v>
      </c>
      <c r="W25" s="576">
        <v>0</v>
      </c>
      <c r="X25" s="576">
        <v>0</v>
      </c>
      <c r="Y25" s="576">
        <v>0</v>
      </c>
      <c r="Z25" s="576">
        <v>0</v>
      </c>
    </row>
    <row r="26" spans="1:26" outlineLevel="1">
      <c r="A26" s="817"/>
      <c r="B26" s="818"/>
      <c r="C26" s="818"/>
      <c r="D26" s="494">
        <v>2</v>
      </c>
      <c r="E26" s="68">
        <f t="shared" si="3"/>
        <v>0</v>
      </c>
      <c r="F26" s="577">
        <v>0</v>
      </c>
      <c r="G26" s="577">
        <v>0</v>
      </c>
      <c r="H26" s="577">
        <v>0</v>
      </c>
      <c r="I26" s="577">
        <v>0</v>
      </c>
      <c r="J26" s="577">
        <v>0</v>
      </c>
      <c r="K26" s="577">
        <v>0</v>
      </c>
      <c r="L26" s="577">
        <v>0</v>
      </c>
      <c r="M26" s="577">
        <v>0</v>
      </c>
      <c r="N26" s="577">
        <v>0</v>
      </c>
      <c r="O26" s="577">
        <v>0</v>
      </c>
      <c r="P26" s="577">
        <v>0</v>
      </c>
      <c r="Q26" s="577">
        <v>0</v>
      </c>
      <c r="R26" s="577">
        <v>0</v>
      </c>
      <c r="S26" s="577">
        <v>0</v>
      </c>
      <c r="T26" s="577">
        <v>0</v>
      </c>
      <c r="U26" s="577">
        <v>0</v>
      </c>
      <c r="V26" s="577">
        <v>0</v>
      </c>
      <c r="W26" s="577">
        <v>0</v>
      </c>
      <c r="X26" s="577">
        <v>0</v>
      </c>
      <c r="Y26" s="577">
        <v>0</v>
      </c>
      <c r="Z26" s="577">
        <v>0</v>
      </c>
    </row>
    <row r="27" spans="1:26" outlineLevel="1">
      <c r="A27" s="817"/>
      <c r="B27" s="818"/>
      <c r="C27" s="818"/>
      <c r="D27" s="494">
        <v>3</v>
      </c>
      <c r="E27" s="68">
        <f t="shared" si="3"/>
        <v>0</v>
      </c>
      <c r="F27" s="577">
        <v>0</v>
      </c>
      <c r="G27" s="577">
        <v>0</v>
      </c>
      <c r="H27" s="577">
        <v>0</v>
      </c>
      <c r="I27" s="577">
        <v>0</v>
      </c>
      <c r="J27" s="577">
        <v>0</v>
      </c>
      <c r="K27" s="577">
        <v>0</v>
      </c>
      <c r="L27" s="577">
        <v>0</v>
      </c>
      <c r="M27" s="577">
        <v>0</v>
      </c>
      <c r="N27" s="577">
        <v>0</v>
      </c>
      <c r="O27" s="577">
        <v>0</v>
      </c>
      <c r="P27" s="577">
        <v>0</v>
      </c>
      <c r="Q27" s="577">
        <v>0</v>
      </c>
      <c r="R27" s="577">
        <v>0</v>
      </c>
      <c r="S27" s="577">
        <v>0</v>
      </c>
      <c r="T27" s="577">
        <v>0</v>
      </c>
      <c r="U27" s="577">
        <v>0</v>
      </c>
      <c r="V27" s="577">
        <v>0</v>
      </c>
      <c r="W27" s="577">
        <v>0</v>
      </c>
      <c r="X27" s="577">
        <v>0</v>
      </c>
      <c r="Y27" s="577">
        <v>0</v>
      </c>
      <c r="Z27" s="577">
        <v>0</v>
      </c>
    </row>
    <row r="28" spans="1:26" outlineLevel="1">
      <c r="A28" s="817"/>
      <c r="B28" s="818"/>
      <c r="C28" s="818"/>
      <c r="D28" s="494">
        <v>4</v>
      </c>
      <c r="E28" s="68">
        <f t="shared" si="3"/>
        <v>0</v>
      </c>
      <c r="F28" s="577">
        <v>0</v>
      </c>
      <c r="G28" s="577">
        <v>0</v>
      </c>
      <c r="H28" s="577">
        <v>0</v>
      </c>
      <c r="I28" s="577">
        <v>0</v>
      </c>
      <c r="J28" s="577">
        <v>0</v>
      </c>
      <c r="K28" s="577">
        <v>0</v>
      </c>
      <c r="L28" s="577">
        <v>0</v>
      </c>
      <c r="M28" s="577">
        <v>0</v>
      </c>
      <c r="N28" s="577">
        <v>0</v>
      </c>
      <c r="O28" s="577">
        <v>0</v>
      </c>
      <c r="P28" s="577">
        <v>0</v>
      </c>
      <c r="Q28" s="577">
        <v>0</v>
      </c>
      <c r="R28" s="577">
        <v>0</v>
      </c>
      <c r="S28" s="577">
        <v>0</v>
      </c>
      <c r="T28" s="577">
        <v>0</v>
      </c>
      <c r="U28" s="577">
        <v>0</v>
      </c>
      <c r="V28" s="577">
        <v>0</v>
      </c>
      <c r="W28" s="577">
        <v>0</v>
      </c>
      <c r="X28" s="577">
        <v>0</v>
      </c>
      <c r="Y28" s="577">
        <v>0</v>
      </c>
      <c r="Z28" s="577">
        <v>0</v>
      </c>
    </row>
    <row r="29" spans="1:26" outlineLevel="1">
      <c r="A29" s="817"/>
      <c r="B29" s="818"/>
      <c r="C29" s="818"/>
      <c r="D29" s="494">
        <v>5</v>
      </c>
      <c r="E29" s="68">
        <f t="shared" si="3"/>
        <v>0</v>
      </c>
      <c r="F29" s="577">
        <v>0</v>
      </c>
      <c r="G29" s="577">
        <v>0</v>
      </c>
      <c r="H29" s="577">
        <v>0</v>
      </c>
      <c r="I29" s="577">
        <v>0</v>
      </c>
      <c r="J29" s="577">
        <v>0</v>
      </c>
      <c r="K29" s="577">
        <v>0</v>
      </c>
      <c r="L29" s="577">
        <v>0</v>
      </c>
      <c r="M29" s="577">
        <v>0</v>
      </c>
      <c r="N29" s="577">
        <v>0</v>
      </c>
      <c r="O29" s="577">
        <v>0</v>
      </c>
      <c r="P29" s="577">
        <v>0</v>
      </c>
      <c r="Q29" s="577">
        <v>0</v>
      </c>
      <c r="R29" s="577">
        <v>0</v>
      </c>
      <c r="S29" s="577">
        <v>0</v>
      </c>
      <c r="T29" s="577">
        <v>0</v>
      </c>
      <c r="U29" s="577">
        <v>0</v>
      </c>
      <c r="V29" s="577">
        <v>0</v>
      </c>
      <c r="W29" s="577">
        <v>0</v>
      </c>
      <c r="X29" s="577">
        <v>0</v>
      </c>
      <c r="Y29" s="577">
        <v>0</v>
      </c>
      <c r="Z29" s="577">
        <v>0</v>
      </c>
    </row>
    <row r="30" spans="1:26" outlineLevel="1">
      <c r="A30" s="817"/>
      <c r="B30" s="818"/>
      <c r="C30" s="818"/>
      <c r="D30" s="494">
        <v>6</v>
      </c>
      <c r="E30" s="68">
        <f t="shared" si="3"/>
        <v>0</v>
      </c>
      <c r="F30" s="577">
        <v>0</v>
      </c>
      <c r="G30" s="577">
        <v>0</v>
      </c>
      <c r="H30" s="577">
        <v>0</v>
      </c>
      <c r="I30" s="577">
        <v>0</v>
      </c>
      <c r="J30" s="577">
        <v>0</v>
      </c>
      <c r="K30" s="577">
        <v>0</v>
      </c>
      <c r="L30" s="577">
        <v>0</v>
      </c>
      <c r="M30" s="577">
        <v>0</v>
      </c>
      <c r="N30" s="577">
        <v>0</v>
      </c>
      <c r="O30" s="577">
        <v>0</v>
      </c>
      <c r="P30" s="577">
        <v>0</v>
      </c>
      <c r="Q30" s="577">
        <v>0</v>
      </c>
      <c r="R30" s="577">
        <v>0</v>
      </c>
      <c r="S30" s="577">
        <v>0</v>
      </c>
      <c r="T30" s="577">
        <v>0</v>
      </c>
      <c r="U30" s="577">
        <v>0</v>
      </c>
      <c r="V30" s="577">
        <v>0</v>
      </c>
      <c r="W30" s="577">
        <v>0</v>
      </c>
      <c r="X30" s="577">
        <v>0</v>
      </c>
      <c r="Y30" s="577">
        <v>0</v>
      </c>
      <c r="Z30" s="577">
        <v>0</v>
      </c>
    </row>
    <row r="31" spans="1:26" outlineLevel="1">
      <c r="A31" s="817"/>
      <c r="B31" s="818"/>
      <c r="C31" s="818"/>
      <c r="D31" s="494">
        <v>7</v>
      </c>
      <c r="E31" s="68">
        <f t="shared" si="3"/>
        <v>0</v>
      </c>
      <c r="F31" s="577">
        <v>0</v>
      </c>
      <c r="G31" s="577">
        <v>0</v>
      </c>
      <c r="H31" s="577">
        <v>0</v>
      </c>
      <c r="I31" s="577">
        <v>0</v>
      </c>
      <c r="J31" s="577">
        <v>0</v>
      </c>
      <c r="K31" s="577">
        <v>0</v>
      </c>
      <c r="L31" s="577">
        <v>0</v>
      </c>
      <c r="M31" s="577">
        <v>0</v>
      </c>
      <c r="N31" s="577">
        <v>0</v>
      </c>
      <c r="O31" s="577">
        <v>0</v>
      </c>
      <c r="P31" s="577">
        <v>0</v>
      </c>
      <c r="Q31" s="577">
        <v>0</v>
      </c>
      <c r="R31" s="577">
        <v>0</v>
      </c>
      <c r="S31" s="577">
        <v>0</v>
      </c>
      <c r="T31" s="577">
        <v>0</v>
      </c>
      <c r="U31" s="577">
        <v>0</v>
      </c>
      <c r="V31" s="577">
        <v>0</v>
      </c>
      <c r="W31" s="577">
        <v>0</v>
      </c>
      <c r="X31" s="577">
        <v>0</v>
      </c>
      <c r="Y31" s="577">
        <v>0</v>
      </c>
      <c r="Z31" s="577">
        <v>0</v>
      </c>
    </row>
    <row r="32" spans="1:26" outlineLevel="1">
      <c r="A32" s="817"/>
      <c r="B32" s="818"/>
      <c r="C32" s="818"/>
      <c r="D32" s="494">
        <v>8</v>
      </c>
      <c r="E32" s="68">
        <f t="shared" si="3"/>
        <v>0</v>
      </c>
      <c r="F32" s="577">
        <v>0</v>
      </c>
      <c r="G32" s="577">
        <v>0</v>
      </c>
      <c r="H32" s="577">
        <v>0</v>
      </c>
      <c r="I32" s="577">
        <v>0</v>
      </c>
      <c r="J32" s="577">
        <v>0</v>
      </c>
      <c r="K32" s="577">
        <v>0</v>
      </c>
      <c r="L32" s="577">
        <v>0</v>
      </c>
      <c r="M32" s="577">
        <v>0</v>
      </c>
      <c r="N32" s="577">
        <v>0</v>
      </c>
      <c r="O32" s="577">
        <v>0</v>
      </c>
      <c r="P32" s="577">
        <v>0</v>
      </c>
      <c r="Q32" s="577">
        <v>0</v>
      </c>
      <c r="R32" s="577">
        <v>0</v>
      </c>
      <c r="S32" s="577">
        <v>0</v>
      </c>
      <c r="T32" s="577">
        <v>0</v>
      </c>
      <c r="U32" s="577">
        <v>0</v>
      </c>
      <c r="V32" s="577">
        <v>0</v>
      </c>
      <c r="W32" s="577">
        <v>0</v>
      </c>
      <c r="X32" s="577">
        <v>0</v>
      </c>
      <c r="Y32" s="577">
        <v>0</v>
      </c>
      <c r="Z32" s="577">
        <v>0</v>
      </c>
    </row>
    <row r="33" spans="1:26" outlineLevel="1">
      <c r="A33" s="817"/>
      <c r="B33" s="818"/>
      <c r="C33" s="818"/>
      <c r="D33" s="494">
        <v>9</v>
      </c>
      <c r="E33" s="68">
        <f t="shared" si="3"/>
        <v>0</v>
      </c>
      <c r="F33" s="577">
        <v>0</v>
      </c>
      <c r="G33" s="577">
        <v>0</v>
      </c>
      <c r="H33" s="577">
        <v>0</v>
      </c>
      <c r="I33" s="577">
        <v>0</v>
      </c>
      <c r="J33" s="577">
        <v>0</v>
      </c>
      <c r="K33" s="577">
        <v>0</v>
      </c>
      <c r="L33" s="577">
        <v>0</v>
      </c>
      <c r="M33" s="577">
        <v>0</v>
      </c>
      <c r="N33" s="577">
        <v>0</v>
      </c>
      <c r="O33" s="577">
        <v>0</v>
      </c>
      <c r="P33" s="577">
        <v>0</v>
      </c>
      <c r="Q33" s="577">
        <v>0</v>
      </c>
      <c r="R33" s="577">
        <v>0</v>
      </c>
      <c r="S33" s="577">
        <v>0</v>
      </c>
      <c r="T33" s="577">
        <v>0</v>
      </c>
      <c r="U33" s="577">
        <v>0</v>
      </c>
      <c r="V33" s="577">
        <v>0</v>
      </c>
      <c r="W33" s="577">
        <v>0</v>
      </c>
      <c r="X33" s="577">
        <v>0</v>
      </c>
      <c r="Y33" s="577">
        <v>0</v>
      </c>
      <c r="Z33" s="577">
        <v>0</v>
      </c>
    </row>
    <row r="34" spans="1:26" ht="15.75" outlineLevel="1" thickBot="1">
      <c r="A34" s="817"/>
      <c r="B34" s="818"/>
      <c r="C34" s="818"/>
      <c r="D34" s="495">
        <v>10</v>
      </c>
      <c r="E34" s="69">
        <f t="shared" si="3"/>
        <v>0</v>
      </c>
      <c r="F34" s="581">
        <v>0</v>
      </c>
      <c r="G34" s="581">
        <v>0</v>
      </c>
      <c r="H34" s="581">
        <v>0</v>
      </c>
      <c r="I34" s="581">
        <v>0</v>
      </c>
      <c r="J34" s="581">
        <v>0</v>
      </c>
      <c r="K34" s="581">
        <v>0</v>
      </c>
      <c r="L34" s="581">
        <v>0</v>
      </c>
      <c r="M34" s="581">
        <v>0</v>
      </c>
      <c r="N34" s="581">
        <v>0</v>
      </c>
      <c r="O34" s="581">
        <v>0</v>
      </c>
      <c r="P34" s="581">
        <v>0</v>
      </c>
      <c r="Q34" s="581">
        <v>0</v>
      </c>
      <c r="R34" s="581">
        <v>0</v>
      </c>
      <c r="S34" s="581">
        <v>0</v>
      </c>
      <c r="T34" s="581">
        <v>0</v>
      </c>
      <c r="U34" s="581">
        <v>0</v>
      </c>
      <c r="V34" s="581">
        <v>0</v>
      </c>
      <c r="W34" s="581">
        <v>0</v>
      </c>
      <c r="X34" s="581">
        <v>0</v>
      </c>
      <c r="Y34" s="581">
        <v>0</v>
      </c>
      <c r="Z34" s="581">
        <v>0</v>
      </c>
    </row>
    <row r="35" spans="1:26" outlineLevel="1">
      <c r="A35" s="817" t="s">
        <v>1530</v>
      </c>
      <c r="B35" s="818" t="s">
        <v>1504</v>
      </c>
      <c r="C35" s="818">
        <v>637040</v>
      </c>
      <c r="D35" s="493">
        <v>1</v>
      </c>
      <c r="E35" s="68">
        <f t="shared" ref="E35:E44" si="4">SUM(F35:Z35)</f>
        <v>0</v>
      </c>
      <c r="F35" s="576">
        <v>0</v>
      </c>
      <c r="G35" s="576">
        <v>0</v>
      </c>
      <c r="H35" s="576">
        <v>0</v>
      </c>
      <c r="I35" s="576">
        <v>0</v>
      </c>
      <c r="J35" s="576">
        <v>0</v>
      </c>
      <c r="K35" s="576">
        <v>0</v>
      </c>
      <c r="L35" s="576">
        <v>0</v>
      </c>
      <c r="M35" s="576">
        <v>0</v>
      </c>
      <c r="N35" s="576">
        <v>0</v>
      </c>
      <c r="O35" s="576">
        <v>0</v>
      </c>
      <c r="P35" s="576">
        <v>0</v>
      </c>
      <c r="Q35" s="576">
        <v>0</v>
      </c>
      <c r="R35" s="576">
        <v>0</v>
      </c>
      <c r="S35" s="576">
        <v>0</v>
      </c>
      <c r="T35" s="576">
        <v>0</v>
      </c>
      <c r="U35" s="576">
        <v>0</v>
      </c>
      <c r="V35" s="576">
        <v>0</v>
      </c>
      <c r="W35" s="576">
        <v>0</v>
      </c>
      <c r="X35" s="576">
        <v>0</v>
      </c>
      <c r="Y35" s="576">
        <v>0</v>
      </c>
      <c r="Z35" s="576">
        <v>0</v>
      </c>
    </row>
    <row r="36" spans="1:26" outlineLevel="1">
      <c r="A36" s="817"/>
      <c r="B36" s="818"/>
      <c r="C36" s="818"/>
      <c r="D36" s="494">
        <v>2</v>
      </c>
      <c r="E36" s="68">
        <f t="shared" si="4"/>
        <v>0</v>
      </c>
      <c r="F36" s="577">
        <v>0</v>
      </c>
      <c r="G36" s="577">
        <v>0</v>
      </c>
      <c r="H36" s="577">
        <v>0</v>
      </c>
      <c r="I36" s="577">
        <v>0</v>
      </c>
      <c r="J36" s="577">
        <v>0</v>
      </c>
      <c r="K36" s="577">
        <v>0</v>
      </c>
      <c r="L36" s="577">
        <v>0</v>
      </c>
      <c r="M36" s="577">
        <v>0</v>
      </c>
      <c r="N36" s="577">
        <v>0</v>
      </c>
      <c r="O36" s="577">
        <v>0</v>
      </c>
      <c r="P36" s="577">
        <v>0</v>
      </c>
      <c r="Q36" s="577">
        <v>0</v>
      </c>
      <c r="R36" s="577">
        <v>0</v>
      </c>
      <c r="S36" s="577">
        <v>0</v>
      </c>
      <c r="T36" s="577">
        <v>0</v>
      </c>
      <c r="U36" s="577">
        <v>0</v>
      </c>
      <c r="V36" s="577">
        <v>0</v>
      </c>
      <c r="W36" s="577">
        <v>0</v>
      </c>
      <c r="X36" s="577">
        <v>0</v>
      </c>
      <c r="Y36" s="577">
        <v>0</v>
      </c>
      <c r="Z36" s="577">
        <v>0</v>
      </c>
    </row>
    <row r="37" spans="1:26" outlineLevel="1">
      <c r="A37" s="817"/>
      <c r="B37" s="818"/>
      <c r="C37" s="818"/>
      <c r="D37" s="494">
        <v>3</v>
      </c>
      <c r="E37" s="68">
        <f t="shared" si="4"/>
        <v>0</v>
      </c>
      <c r="F37" s="577">
        <v>0</v>
      </c>
      <c r="G37" s="577">
        <v>0</v>
      </c>
      <c r="H37" s="577">
        <v>0</v>
      </c>
      <c r="I37" s="577">
        <v>0</v>
      </c>
      <c r="J37" s="577">
        <v>0</v>
      </c>
      <c r="K37" s="577">
        <v>0</v>
      </c>
      <c r="L37" s="577">
        <v>0</v>
      </c>
      <c r="M37" s="577">
        <v>0</v>
      </c>
      <c r="N37" s="577">
        <v>0</v>
      </c>
      <c r="O37" s="577">
        <v>0</v>
      </c>
      <c r="P37" s="577">
        <v>0</v>
      </c>
      <c r="Q37" s="577">
        <v>0</v>
      </c>
      <c r="R37" s="577">
        <v>0</v>
      </c>
      <c r="S37" s="577">
        <v>0</v>
      </c>
      <c r="T37" s="577">
        <v>0</v>
      </c>
      <c r="U37" s="577">
        <v>0</v>
      </c>
      <c r="V37" s="577">
        <v>0</v>
      </c>
      <c r="W37" s="577">
        <v>0</v>
      </c>
      <c r="X37" s="577">
        <v>0</v>
      </c>
      <c r="Y37" s="577">
        <v>0</v>
      </c>
      <c r="Z37" s="577">
        <v>0</v>
      </c>
    </row>
    <row r="38" spans="1:26" outlineLevel="1">
      <c r="A38" s="817"/>
      <c r="B38" s="818"/>
      <c r="C38" s="818"/>
      <c r="D38" s="494">
        <v>4</v>
      </c>
      <c r="E38" s="68">
        <f t="shared" si="4"/>
        <v>0</v>
      </c>
      <c r="F38" s="577">
        <v>0</v>
      </c>
      <c r="G38" s="577">
        <v>0</v>
      </c>
      <c r="H38" s="577">
        <v>0</v>
      </c>
      <c r="I38" s="577">
        <v>0</v>
      </c>
      <c r="J38" s="577">
        <v>0</v>
      </c>
      <c r="K38" s="577">
        <v>0</v>
      </c>
      <c r="L38" s="577">
        <v>0</v>
      </c>
      <c r="M38" s="577">
        <v>0</v>
      </c>
      <c r="N38" s="577">
        <v>0</v>
      </c>
      <c r="O38" s="577">
        <v>0</v>
      </c>
      <c r="P38" s="577">
        <v>0</v>
      </c>
      <c r="Q38" s="577">
        <v>0</v>
      </c>
      <c r="R38" s="577">
        <v>0</v>
      </c>
      <c r="S38" s="577">
        <v>0</v>
      </c>
      <c r="T38" s="577">
        <v>0</v>
      </c>
      <c r="U38" s="577">
        <v>0</v>
      </c>
      <c r="V38" s="577">
        <v>0</v>
      </c>
      <c r="W38" s="577">
        <v>0</v>
      </c>
      <c r="X38" s="577">
        <v>0</v>
      </c>
      <c r="Y38" s="577">
        <v>0</v>
      </c>
      <c r="Z38" s="577">
        <v>0</v>
      </c>
    </row>
    <row r="39" spans="1:26" outlineLevel="1">
      <c r="A39" s="817"/>
      <c r="B39" s="818"/>
      <c r="C39" s="818"/>
      <c r="D39" s="494">
        <v>5</v>
      </c>
      <c r="E39" s="68">
        <f t="shared" si="4"/>
        <v>0</v>
      </c>
      <c r="F39" s="577">
        <v>0</v>
      </c>
      <c r="G39" s="577">
        <v>0</v>
      </c>
      <c r="H39" s="577">
        <v>0</v>
      </c>
      <c r="I39" s="577">
        <v>0</v>
      </c>
      <c r="J39" s="577">
        <v>0</v>
      </c>
      <c r="K39" s="577">
        <v>0</v>
      </c>
      <c r="L39" s="577">
        <v>0</v>
      </c>
      <c r="M39" s="577">
        <v>0</v>
      </c>
      <c r="N39" s="577">
        <v>0</v>
      </c>
      <c r="O39" s="577">
        <v>0</v>
      </c>
      <c r="P39" s="577">
        <v>0</v>
      </c>
      <c r="Q39" s="577">
        <v>0</v>
      </c>
      <c r="R39" s="577">
        <v>0</v>
      </c>
      <c r="S39" s="577">
        <v>0</v>
      </c>
      <c r="T39" s="577">
        <v>0</v>
      </c>
      <c r="U39" s="577">
        <v>0</v>
      </c>
      <c r="V39" s="577">
        <v>0</v>
      </c>
      <c r="W39" s="577">
        <v>0</v>
      </c>
      <c r="X39" s="577">
        <v>0</v>
      </c>
      <c r="Y39" s="577">
        <v>0</v>
      </c>
      <c r="Z39" s="577">
        <v>0</v>
      </c>
    </row>
    <row r="40" spans="1:26" outlineLevel="1">
      <c r="A40" s="817"/>
      <c r="B40" s="818"/>
      <c r="C40" s="818"/>
      <c r="D40" s="494">
        <v>6</v>
      </c>
      <c r="E40" s="68">
        <f t="shared" si="4"/>
        <v>0</v>
      </c>
      <c r="F40" s="577">
        <v>0</v>
      </c>
      <c r="G40" s="577">
        <v>0</v>
      </c>
      <c r="H40" s="577">
        <v>0</v>
      </c>
      <c r="I40" s="577">
        <v>0</v>
      </c>
      <c r="J40" s="577">
        <v>0</v>
      </c>
      <c r="K40" s="577">
        <v>0</v>
      </c>
      <c r="L40" s="577">
        <v>0</v>
      </c>
      <c r="M40" s="577">
        <v>0</v>
      </c>
      <c r="N40" s="577">
        <v>0</v>
      </c>
      <c r="O40" s="577">
        <v>0</v>
      </c>
      <c r="P40" s="577">
        <v>0</v>
      </c>
      <c r="Q40" s="577">
        <v>0</v>
      </c>
      <c r="R40" s="577">
        <v>0</v>
      </c>
      <c r="S40" s="577">
        <v>0</v>
      </c>
      <c r="T40" s="577">
        <v>0</v>
      </c>
      <c r="U40" s="577">
        <v>0</v>
      </c>
      <c r="V40" s="577">
        <v>0</v>
      </c>
      <c r="W40" s="577">
        <v>0</v>
      </c>
      <c r="X40" s="577">
        <v>0</v>
      </c>
      <c r="Y40" s="577">
        <v>0</v>
      </c>
      <c r="Z40" s="577">
        <v>0</v>
      </c>
    </row>
    <row r="41" spans="1:26" outlineLevel="1">
      <c r="A41" s="817"/>
      <c r="B41" s="818"/>
      <c r="C41" s="818"/>
      <c r="D41" s="494">
        <v>7</v>
      </c>
      <c r="E41" s="68">
        <f t="shared" si="4"/>
        <v>0</v>
      </c>
      <c r="F41" s="577">
        <v>0</v>
      </c>
      <c r="G41" s="577">
        <v>0</v>
      </c>
      <c r="H41" s="577">
        <v>0</v>
      </c>
      <c r="I41" s="577">
        <v>0</v>
      </c>
      <c r="J41" s="577">
        <v>0</v>
      </c>
      <c r="K41" s="577">
        <v>0</v>
      </c>
      <c r="L41" s="577">
        <v>0</v>
      </c>
      <c r="M41" s="577">
        <v>0</v>
      </c>
      <c r="N41" s="577">
        <v>0</v>
      </c>
      <c r="O41" s="577">
        <v>0</v>
      </c>
      <c r="P41" s="577">
        <v>0</v>
      </c>
      <c r="Q41" s="577">
        <v>0</v>
      </c>
      <c r="R41" s="577">
        <v>0</v>
      </c>
      <c r="S41" s="577">
        <v>0</v>
      </c>
      <c r="T41" s="577">
        <v>0</v>
      </c>
      <c r="U41" s="577">
        <v>0</v>
      </c>
      <c r="V41" s="577">
        <v>0</v>
      </c>
      <c r="W41" s="577">
        <v>0</v>
      </c>
      <c r="X41" s="577">
        <v>0</v>
      </c>
      <c r="Y41" s="577">
        <v>0</v>
      </c>
      <c r="Z41" s="577">
        <v>0</v>
      </c>
    </row>
    <row r="42" spans="1:26" outlineLevel="1">
      <c r="A42" s="817"/>
      <c r="B42" s="818"/>
      <c r="C42" s="818"/>
      <c r="D42" s="494">
        <v>8</v>
      </c>
      <c r="E42" s="68">
        <f t="shared" si="4"/>
        <v>0</v>
      </c>
      <c r="F42" s="577">
        <v>0</v>
      </c>
      <c r="G42" s="577">
        <v>0</v>
      </c>
      <c r="H42" s="577">
        <v>0</v>
      </c>
      <c r="I42" s="577">
        <v>0</v>
      </c>
      <c r="J42" s="577">
        <v>0</v>
      </c>
      <c r="K42" s="577">
        <v>0</v>
      </c>
      <c r="L42" s="577">
        <v>0</v>
      </c>
      <c r="M42" s="577">
        <v>0</v>
      </c>
      <c r="N42" s="577">
        <v>0</v>
      </c>
      <c r="O42" s="577">
        <v>0</v>
      </c>
      <c r="P42" s="577">
        <v>0</v>
      </c>
      <c r="Q42" s="577">
        <v>0</v>
      </c>
      <c r="R42" s="577">
        <v>0</v>
      </c>
      <c r="S42" s="577">
        <v>0</v>
      </c>
      <c r="T42" s="577">
        <v>0</v>
      </c>
      <c r="U42" s="577">
        <v>0</v>
      </c>
      <c r="V42" s="577">
        <v>0</v>
      </c>
      <c r="W42" s="577">
        <v>0</v>
      </c>
      <c r="X42" s="577">
        <v>0</v>
      </c>
      <c r="Y42" s="577">
        <v>0</v>
      </c>
      <c r="Z42" s="577">
        <v>0</v>
      </c>
    </row>
    <row r="43" spans="1:26" outlineLevel="1">
      <c r="A43" s="817"/>
      <c r="B43" s="818"/>
      <c r="C43" s="818"/>
      <c r="D43" s="494">
        <v>9</v>
      </c>
      <c r="E43" s="68">
        <f t="shared" si="4"/>
        <v>0</v>
      </c>
      <c r="F43" s="577">
        <v>0</v>
      </c>
      <c r="G43" s="577">
        <v>0</v>
      </c>
      <c r="H43" s="577">
        <v>0</v>
      </c>
      <c r="I43" s="577">
        <v>0</v>
      </c>
      <c r="J43" s="577">
        <v>0</v>
      </c>
      <c r="K43" s="577">
        <v>0</v>
      </c>
      <c r="L43" s="577">
        <v>0</v>
      </c>
      <c r="M43" s="577">
        <v>0</v>
      </c>
      <c r="N43" s="577">
        <v>0</v>
      </c>
      <c r="O43" s="577">
        <v>0</v>
      </c>
      <c r="P43" s="577">
        <v>0</v>
      </c>
      <c r="Q43" s="577">
        <v>0</v>
      </c>
      <c r="R43" s="577">
        <v>0</v>
      </c>
      <c r="S43" s="577">
        <v>0</v>
      </c>
      <c r="T43" s="577">
        <v>0</v>
      </c>
      <c r="U43" s="577">
        <v>0</v>
      </c>
      <c r="V43" s="577">
        <v>0</v>
      </c>
      <c r="W43" s="577">
        <v>0</v>
      </c>
      <c r="X43" s="577">
        <v>0</v>
      </c>
      <c r="Y43" s="577">
        <v>0</v>
      </c>
      <c r="Z43" s="577">
        <v>0</v>
      </c>
    </row>
    <row r="44" spans="1:26" ht="15.75" outlineLevel="1" thickBot="1">
      <c r="A44" s="817"/>
      <c r="B44" s="818"/>
      <c r="C44" s="818"/>
      <c r="D44" s="495">
        <v>10</v>
      </c>
      <c r="E44" s="69">
        <f t="shared" si="4"/>
        <v>0</v>
      </c>
      <c r="F44" s="581">
        <v>0</v>
      </c>
      <c r="G44" s="581">
        <v>0</v>
      </c>
      <c r="H44" s="581">
        <v>0</v>
      </c>
      <c r="I44" s="581">
        <v>0</v>
      </c>
      <c r="J44" s="581">
        <v>0</v>
      </c>
      <c r="K44" s="581">
        <v>0</v>
      </c>
      <c r="L44" s="581">
        <v>0</v>
      </c>
      <c r="M44" s="581">
        <v>0</v>
      </c>
      <c r="N44" s="581">
        <v>0</v>
      </c>
      <c r="O44" s="581">
        <v>0</v>
      </c>
      <c r="P44" s="581">
        <v>0</v>
      </c>
      <c r="Q44" s="581">
        <v>0</v>
      </c>
      <c r="R44" s="581">
        <v>0</v>
      </c>
      <c r="S44" s="581">
        <v>0</v>
      </c>
      <c r="T44" s="581">
        <v>0</v>
      </c>
      <c r="U44" s="581">
        <v>0</v>
      </c>
      <c r="V44" s="581">
        <v>0</v>
      </c>
      <c r="W44" s="581">
        <v>0</v>
      </c>
      <c r="X44" s="581">
        <v>0</v>
      </c>
      <c r="Y44" s="581">
        <v>0</v>
      </c>
      <c r="Z44" s="581">
        <v>0</v>
      </c>
    </row>
    <row r="45" spans="1:26" outlineLevel="1">
      <c r="A45" s="817" t="s">
        <v>1514</v>
      </c>
      <c r="B45" s="818" t="s">
        <v>1506</v>
      </c>
      <c r="C45" s="818">
        <v>637040</v>
      </c>
      <c r="D45" s="493">
        <v>1</v>
      </c>
      <c r="E45" s="68">
        <f t="shared" si="2"/>
        <v>0</v>
      </c>
      <c r="F45" s="576">
        <v>0</v>
      </c>
      <c r="G45" s="576">
        <v>0</v>
      </c>
      <c r="H45" s="576">
        <v>0</v>
      </c>
      <c r="I45" s="576">
        <v>0</v>
      </c>
      <c r="J45" s="576">
        <v>0</v>
      </c>
      <c r="K45" s="576">
        <v>0</v>
      </c>
      <c r="L45" s="576">
        <v>0</v>
      </c>
      <c r="M45" s="576">
        <v>0</v>
      </c>
      <c r="N45" s="576">
        <v>0</v>
      </c>
      <c r="O45" s="576">
        <v>0</v>
      </c>
      <c r="P45" s="576">
        <v>0</v>
      </c>
      <c r="Q45" s="576">
        <v>0</v>
      </c>
      <c r="R45" s="576">
        <v>0</v>
      </c>
      <c r="S45" s="576">
        <v>0</v>
      </c>
      <c r="T45" s="576">
        <v>0</v>
      </c>
      <c r="U45" s="576">
        <v>0</v>
      </c>
      <c r="V45" s="576">
        <v>0</v>
      </c>
      <c r="W45" s="576">
        <v>0</v>
      </c>
      <c r="X45" s="576">
        <v>0</v>
      </c>
      <c r="Y45" s="576">
        <v>0</v>
      </c>
      <c r="Z45" s="576">
        <v>0</v>
      </c>
    </row>
    <row r="46" spans="1:26" outlineLevel="1">
      <c r="A46" s="817"/>
      <c r="B46" s="818"/>
      <c r="C46" s="818"/>
      <c r="D46" s="494">
        <v>2</v>
      </c>
      <c r="E46" s="68">
        <f t="shared" si="2"/>
        <v>0</v>
      </c>
      <c r="F46" s="577">
        <v>0</v>
      </c>
      <c r="G46" s="577">
        <v>0</v>
      </c>
      <c r="H46" s="577">
        <v>0</v>
      </c>
      <c r="I46" s="577">
        <v>0</v>
      </c>
      <c r="J46" s="577">
        <v>0</v>
      </c>
      <c r="K46" s="577">
        <v>0</v>
      </c>
      <c r="L46" s="577">
        <v>0</v>
      </c>
      <c r="M46" s="577">
        <v>0</v>
      </c>
      <c r="N46" s="577">
        <v>0</v>
      </c>
      <c r="O46" s="577">
        <v>0</v>
      </c>
      <c r="P46" s="577">
        <v>0</v>
      </c>
      <c r="Q46" s="577">
        <v>0</v>
      </c>
      <c r="R46" s="577">
        <v>0</v>
      </c>
      <c r="S46" s="577">
        <v>0</v>
      </c>
      <c r="T46" s="577">
        <v>0</v>
      </c>
      <c r="U46" s="577">
        <v>0</v>
      </c>
      <c r="V46" s="577">
        <v>0</v>
      </c>
      <c r="W46" s="577">
        <v>0</v>
      </c>
      <c r="X46" s="577">
        <v>0</v>
      </c>
      <c r="Y46" s="577">
        <v>0</v>
      </c>
      <c r="Z46" s="577">
        <v>0</v>
      </c>
    </row>
    <row r="47" spans="1:26" outlineLevel="1">
      <c r="A47" s="817"/>
      <c r="B47" s="818"/>
      <c r="C47" s="818"/>
      <c r="D47" s="494">
        <v>3</v>
      </c>
      <c r="E47" s="68">
        <f t="shared" si="2"/>
        <v>0</v>
      </c>
      <c r="F47" s="577">
        <v>0</v>
      </c>
      <c r="G47" s="577">
        <v>0</v>
      </c>
      <c r="H47" s="577">
        <v>0</v>
      </c>
      <c r="I47" s="577">
        <v>0</v>
      </c>
      <c r="J47" s="577">
        <v>0</v>
      </c>
      <c r="K47" s="577">
        <v>0</v>
      </c>
      <c r="L47" s="577">
        <v>0</v>
      </c>
      <c r="M47" s="577">
        <v>0</v>
      </c>
      <c r="N47" s="577">
        <v>0</v>
      </c>
      <c r="O47" s="577">
        <v>0</v>
      </c>
      <c r="P47" s="577">
        <v>0</v>
      </c>
      <c r="Q47" s="577">
        <v>0</v>
      </c>
      <c r="R47" s="577">
        <v>0</v>
      </c>
      <c r="S47" s="577">
        <v>0</v>
      </c>
      <c r="T47" s="577">
        <v>0</v>
      </c>
      <c r="U47" s="577">
        <v>0</v>
      </c>
      <c r="V47" s="577">
        <v>0</v>
      </c>
      <c r="W47" s="577">
        <v>0</v>
      </c>
      <c r="X47" s="577">
        <v>0</v>
      </c>
      <c r="Y47" s="577">
        <v>0</v>
      </c>
      <c r="Z47" s="577">
        <v>0</v>
      </c>
    </row>
    <row r="48" spans="1:26" outlineLevel="1">
      <c r="A48" s="817"/>
      <c r="B48" s="818"/>
      <c r="C48" s="818"/>
      <c r="D48" s="494">
        <v>4</v>
      </c>
      <c r="E48" s="68">
        <f t="shared" si="2"/>
        <v>0</v>
      </c>
      <c r="F48" s="577">
        <v>0</v>
      </c>
      <c r="G48" s="577">
        <v>0</v>
      </c>
      <c r="H48" s="577">
        <v>0</v>
      </c>
      <c r="I48" s="577">
        <v>0</v>
      </c>
      <c r="J48" s="577">
        <v>0</v>
      </c>
      <c r="K48" s="577">
        <v>0</v>
      </c>
      <c r="L48" s="577">
        <v>0</v>
      </c>
      <c r="M48" s="577">
        <v>0</v>
      </c>
      <c r="N48" s="577">
        <v>0</v>
      </c>
      <c r="O48" s="577">
        <v>0</v>
      </c>
      <c r="P48" s="577">
        <v>0</v>
      </c>
      <c r="Q48" s="577">
        <v>0</v>
      </c>
      <c r="R48" s="577">
        <v>0</v>
      </c>
      <c r="S48" s="577">
        <v>0</v>
      </c>
      <c r="T48" s="577">
        <v>0</v>
      </c>
      <c r="U48" s="577">
        <v>0</v>
      </c>
      <c r="V48" s="577">
        <v>0</v>
      </c>
      <c r="W48" s="577">
        <v>0</v>
      </c>
      <c r="X48" s="577">
        <v>0</v>
      </c>
      <c r="Y48" s="577">
        <v>0</v>
      </c>
      <c r="Z48" s="577">
        <v>0</v>
      </c>
    </row>
    <row r="49" spans="1:26" outlineLevel="1">
      <c r="A49" s="817"/>
      <c r="B49" s="818"/>
      <c r="C49" s="818"/>
      <c r="D49" s="494">
        <v>5</v>
      </c>
      <c r="E49" s="68">
        <f t="shared" si="2"/>
        <v>0</v>
      </c>
      <c r="F49" s="577">
        <v>0</v>
      </c>
      <c r="G49" s="577">
        <v>0</v>
      </c>
      <c r="H49" s="577">
        <v>0</v>
      </c>
      <c r="I49" s="577">
        <v>0</v>
      </c>
      <c r="J49" s="577">
        <v>0</v>
      </c>
      <c r="K49" s="577">
        <v>0</v>
      </c>
      <c r="L49" s="577">
        <v>0</v>
      </c>
      <c r="M49" s="577">
        <v>0</v>
      </c>
      <c r="N49" s="577">
        <v>0</v>
      </c>
      <c r="O49" s="577">
        <v>0</v>
      </c>
      <c r="P49" s="577">
        <v>0</v>
      </c>
      <c r="Q49" s="577">
        <v>0</v>
      </c>
      <c r="R49" s="577">
        <v>0</v>
      </c>
      <c r="S49" s="577">
        <v>0</v>
      </c>
      <c r="T49" s="577">
        <v>0</v>
      </c>
      <c r="U49" s="577">
        <v>0</v>
      </c>
      <c r="V49" s="577">
        <v>0</v>
      </c>
      <c r="W49" s="577">
        <v>0</v>
      </c>
      <c r="X49" s="577">
        <v>0</v>
      </c>
      <c r="Y49" s="577">
        <v>0</v>
      </c>
      <c r="Z49" s="577">
        <v>0</v>
      </c>
    </row>
    <row r="50" spans="1:26" outlineLevel="1">
      <c r="A50" s="817"/>
      <c r="B50" s="818"/>
      <c r="C50" s="818"/>
      <c r="D50" s="494">
        <v>6</v>
      </c>
      <c r="E50" s="68">
        <f t="shared" si="2"/>
        <v>0</v>
      </c>
      <c r="F50" s="577">
        <v>0</v>
      </c>
      <c r="G50" s="577">
        <v>0</v>
      </c>
      <c r="H50" s="577">
        <v>0</v>
      </c>
      <c r="I50" s="577">
        <v>0</v>
      </c>
      <c r="J50" s="577">
        <v>0</v>
      </c>
      <c r="K50" s="577">
        <v>0</v>
      </c>
      <c r="L50" s="577">
        <v>0</v>
      </c>
      <c r="M50" s="577">
        <v>0</v>
      </c>
      <c r="N50" s="577">
        <v>0</v>
      </c>
      <c r="O50" s="577">
        <v>0</v>
      </c>
      <c r="P50" s="577">
        <v>0</v>
      </c>
      <c r="Q50" s="577">
        <v>0</v>
      </c>
      <c r="R50" s="577">
        <v>0</v>
      </c>
      <c r="S50" s="577">
        <v>0</v>
      </c>
      <c r="T50" s="577">
        <v>0</v>
      </c>
      <c r="U50" s="577">
        <v>0</v>
      </c>
      <c r="V50" s="577">
        <v>0</v>
      </c>
      <c r="W50" s="577">
        <v>0</v>
      </c>
      <c r="X50" s="577">
        <v>0</v>
      </c>
      <c r="Y50" s="577">
        <v>0</v>
      </c>
      <c r="Z50" s="577">
        <v>0</v>
      </c>
    </row>
    <row r="51" spans="1:26" outlineLevel="1">
      <c r="A51" s="817"/>
      <c r="B51" s="818"/>
      <c r="C51" s="818"/>
      <c r="D51" s="494">
        <v>7</v>
      </c>
      <c r="E51" s="68">
        <f t="shared" si="2"/>
        <v>0</v>
      </c>
      <c r="F51" s="577">
        <v>0</v>
      </c>
      <c r="G51" s="577">
        <v>0</v>
      </c>
      <c r="H51" s="577">
        <v>0</v>
      </c>
      <c r="I51" s="577">
        <v>0</v>
      </c>
      <c r="J51" s="577">
        <v>0</v>
      </c>
      <c r="K51" s="577">
        <v>0</v>
      </c>
      <c r="L51" s="577">
        <v>0</v>
      </c>
      <c r="M51" s="577">
        <v>0</v>
      </c>
      <c r="N51" s="577">
        <v>0</v>
      </c>
      <c r="O51" s="577">
        <v>0</v>
      </c>
      <c r="P51" s="577">
        <v>0</v>
      </c>
      <c r="Q51" s="577">
        <v>0</v>
      </c>
      <c r="R51" s="577">
        <v>0</v>
      </c>
      <c r="S51" s="577">
        <v>0</v>
      </c>
      <c r="T51" s="577">
        <v>0</v>
      </c>
      <c r="U51" s="577">
        <v>0</v>
      </c>
      <c r="V51" s="577">
        <v>0</v>
      </c>
      <c r="W51" s="577">
        <v>0</v>
      </c>
      <c r="X51" s="577">
        <v>0</v>
      </c>
      <c r="Y51" s="577">
        <v>0</v>
      </c>
      <c r="Z51" s="577">
        <v>0</v>
      </c>
    </row>
    <row r="52" spans="1:26" outlineLevel="1">
      <c r="A52" s="817"/>
      <c r="B52" s="818"/>
      <c r="C52" s="818"/>
      <c r="D52" s="494">
        <v>8</v>
      </c>
      <c r="E52" s="68">
        <f t="shared" si="2"/>
        <v>0</v>
      </c>
      <c r="F52" s="577">
        <v>0</v>
      </c>
      <c r="G52" s="577">
        <v>0</v>
      </c>
      <c r="H52" s="577">
        <v>0</v>
      </c>
      <c r="I52" s="577">
        <v>0</v>
      </c>
      <c r="J52" s="577">
        <v>0</v>
      </c>
      <c r="K52" s="577">
        <v>0</v>
      </c>
      <c r="L52" s="577">
        <v>0</v>
      </c>
      <c r="M52" s="577">
        <v>0</v>
      </c>
      <c r="N52" s="577">
        <v>0</v>
      </c>
      <c r="O52" s="577">
        <v>0</v>
      </c>
      <c r="P52" s="577">
        <v>0</v>
      </c>
      <c r="Q52" s="577">
        <v>0</v>
      </c>
      <c r="R52" s="577">
        <v>0</v>
      </c>
      <c r="S52" s="577">
        <v>0</v>
      </c>
      <c r="T52" s="577">
        <v>0</v>
      </c>
      <c r="U52" s="577">
        <v>0</v>
      </c>
      <c r="V52" s="577">
        <v>0</v>
      </c>
      <c r="W52" s="577">
        <v>0</v>
      </c>
      <c r="X52" s="577">
        <v>0</v>
      </c>
      <c r="Y52" s="577">
        <v>0</v>
      </c>
      <c r="Z52" s="577">
        <v>0</v>
      </c>
    </row>
    <row r="53" spans="1:26" outlineLevel="1">
      <c r="A53" s="817"/>
      <c r="B53" s="818"/>
      <c r="C53" s="818"/>
      <c r="D53" s="494">
        <v>9</v>
      </c>
      <c r="E53" s="68">
        <f t="shared" si="2"/>
        <v>0</v>
      </c>
      <c r="F53" s="577">
        <v>0</v>
      </c>
      <c r="G53" s="577">
        <v>0</v>
      </c>
      <c r="H53" s="577">
        <v>0</v>
      </c>
      <c r="I53" s="577">
        <v>0</v>
      </c>
      <c r="J53" s="577">
        <v>0</v>
      </c>
      <c r="K53" s="577">
        <v>0</v>
      </c>
      <c r="L53" s="577">
        <v>0</v>
      </c>
      <c r="M53" s="577">
        <v>0</v>
      </c>
      <c r="N53" s="577">
        <v>0</v>
      </c>
      <c r="O53" s="577">
        <v>0</v>
      </c>
      <c r="P53" s="577">
        <v>0</v>
      </c>
      <c r="Q53" s="577">
        <v>0</v>
      </c>
      <c r="R53" s="577">
        <v>0</v>
      </c>
      <c r="S53" s="577">
        <v>0</v>
      </c>
      <c r="T53" s="577">
        <v>0</v>
      </c>
      <c r="U53" s="577">
        <v>0</v>
      </c>
      <c r="V53" s="577">
        <v>0</v>
      </c>
      <c r="W53" s="577">
        <v>0</v>
      </c>
      <c r="X53" s="577">
        <v>0</v>
      </c>
      <c r="Y53" s="577">
        <v>0</v>
      </c>
      <c r="Z53" s="577">
        <v>0</v>
      </c>
    </row>
    <row r="54" spans="1:26" ht="15.75" outlineLevel="1" thickBot="1">
      <c r="A54" s="817"/>
      <c r="B54" s="818"/>
      <c r="C54" s="818"/>
      <c r="D54" s="495">
        <v>10</v>
      </c>
      <c r="E54" s="68">
        <f t="shared" si="2"/>
        <v>0</v>
      </c>
      <c r="F54" s="581">
        <v>0</v>
      </c>
      <c r="G54" s="581">
        <v>0</v>
      </c>
      <c r="H54" s="581">
        <v>0</v>
      </c>
      <c r="I54" s="581">
        <v>0</v>
      </c>
      <c r="J54" s="581">
        <v>0</v>
      </c>
      <c r="K54" s="581">
        <v>0</v>
      </c>
      <c r="L54" s="581">
        <v>0</v>
      </c>
      <c r="M54" s="581">
        <v>0</v>
      </c>
      <c r="N54" s="581">
        <v>0</v>
      </c>
      <c r="O54" s="581">
        <v>0</v>
      </c>
      <c r="P54" s="581">
        <v>0</v>
      </c>
      <c r="Q54" s="581">
        <v>0</v>
      </c>
      <c r="R54" s="581">
        <v>0</v>
      </c>
      <c r="S54" s="581">
        <v>0</v>
      </c>
      <c r="T54" s="581">
        <v>0</v>
      </c>
      <c r="U54" s="581">
        <v>0</v>
      </c>
      <c r="V54" s="581">
        <v>0</v>
      </c>
      <c r="W54" s="581">
        <v>0</v>
      </c>
      <c r="X54" s="581">
        <v>0</v>
      </c>
      <c r="Y54" s="581">
        <v>0</v>
      </c>
      <c r="Z54" s="581">
        <v>0</v>
      </c>
    </row>
    <row r="55" spans="1:26" ht="15.75" thickBot="1">
      <c r="A55" s="831" t="s">
        <v>1508</v>
      </c>
      <c r="B55" s="831"/>
      <c r="C55" s="831"/>
      <c r="D55" s="588"/>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17" t="s">
        <v>1509</v>
      </c>
      <c r="B56" s="818" t="s">
        <v>1497</v>
      </c>
      <c r="C56" s="818">
        <v>635002</v>
      </c>
      <c r="D56" s="493">
        <v>1</v>
      </c>
      <c r="E56" s="67">
        <f t="shared" ref="E56:E105" si="7">SUM(F56:Z56)</f>
        <v>0</v>
      </c>
      <c r="F56" s="573">
        <f>IFERROR(IF(VLOOKUP(F$2,MODULY_CBA!$B$3:$N$23,13,0)&lt;=$D56,SUM(F$5:F$14)*VLOOKUP(F$2,MODULY_CBA!$B$3:$M$23,12,0),0),0)</f>
        <v>0</v>
      </c>
      <c r="G56" s="573">
        <f>IFERROR(IF(VLOOKUP(G$2,MODULY_CBA!$B$3:$N$23,13,0)&lt;=$D56,SUM(G$5:G$14)*VLOOKUP(G$2,MODULY_CBA!$B$3:$M$23,12,0),0),0)</f>
        <v>0</v>
      </c>
      <c r="H56" s="573">
        <f>IFERROR(IF(VLOOKUP(H$2,MODULY_CBA!$B$3:$N$23,13,0)&lt;=$D56,SUM(H$5:H$14)*VLOOKUP(H$2,MODULY_CBA!$B$3:$M$23,12,0),0),0)</f>
        <v>0</v>
      </c>
      <c r="I56" s="573">
        <f>IFERROR(IF(VLOOKUP(I$2,MODULY_CBA!$B$3:$N$23,13,0)&lt;=$D56,SUM(I$5:I$14)*VLOOKUP(I$2,MODULY_CBA!$B$3:$M$23,12,0),0),0)</f>
        <v>0</v>
      </c>
      <c r="J56" s="573">
        <f>IFERROR(IF(VLOOKUP(J$2,MODULY_CBA!$B$3:$N$23,13,0)&lt;=$D56,SUM(J$5:J$14)*VLOOKUP(J$2,MODULY_CBA!$B$3:$M$23,12,0),0),0)</f>
        <v>0</v>
      </c>
      <c r="K56" s="573">
        <f>IFERROR(IF(VLOOKUP(K$2,MODULY_CBA!$B$3:$N$23,13,0)&lt;=$D56,SUM(K$5:K$14)*VLOOKUP(K$2,MODULY_CBA!$B$3:$M$23,12,0),0),0)</f>
        <v>0</v>
      </c>
      <c r="L56" s="573">
        <f>IFERROR(IF(VLOOKUP(L$2,MODULY_CBA!$B$3:$N$23,13,0)&lt;=$D56,SUM(L$5:L$14)*VLOOKUP(L$2,MODULY_CBA!$B$3:$M$23,12,0),0),0)</f>
        <v>0</v>
      </c>
      <c r="M56" s="573">
        <f>IFERROR(IF(VLOOKUP(M$2,MODULY_CBA!$B$3:$N$23,13,0)&lt;=$D56,SUM(M$5:M$14)*VLOOKUP(M$2,MODULY_CBA!$B$3:$M$23,12,0),0),0)</f>
        <v>0</v>
      </c>
      <c r="N56" s="573">
        <f>IFERROR(IF(VLOOKUP(N$2,MODULY_CBA!$B$3:$N$23,13,0)&lt;=$D56,SUM(N$5:N$14)*VLOOKUP(N$2,MODULY_CBA!$B$3:$M$23,12,0),0),0)</f>
        <v>0</v>
      </c>
      <c r="O56" s="573">
        <f>IFERROR(IF(VLOOKUP(O$2,MODULY_CBA!$B$3:$N$23,13,0)&lt;=$D56,SUM(O$5:O$14)*VLOOKUP(O$2,MODULY_CBA!$B$3:$M$23,12,0),0),0)</f>
        <v>0</v>
      </c>
      <c r="P56" s="573">
        <f>IFERROR(IF(VLOOKUP(P$2,MODULY_CBA!$B$3:$N$23,13,0)&lt;=$D56,SUM(P$5:P$14)*VLOOKUP(P$2,MODULY_CBA!$B$3:$M$23,12,0),0),0)</f>
        <v>0</v>
      </c>
      <c r="Q56" s="573">
        <f>IFERROR(IF(VLOOKUP(Q$2,MODULY_CBA!$B$3:$N$23,13,0)&lt;=$D56,SUM(Q$5:Q$14)*VLOOKUP(Q$2,MODULY_CBA!$B$3:$M$23,12,0),0),0)</f>
        <v>0</v>
      </c>
      <c r="R56" s="573">
        <f>IFERROR(IF(VLOOKUP(R$2,MODULY_CBA!$B$3:$N$23,13,0)&lt;=$D56,SUM(R$5:R$14)*VLOOKUP(R$2,MODULY_CBA!$B$3:$M$23,12,0),0),0)</f>
        <v>0</v>
      </c>
      <c r="S56" s="573">
        <f>IFERROR(IF(VLOOKUP(S$2,MODULY_CBA!$B$3:$N$23,13,0)&lt;=$D56,SUM(S$5:S$14)*VLOOKUP(S$2,MODULY_CBA!$B$3:$M$23,12,0),0),0)</f>
        <v>0</v>
      </c>
      <c r="T56" s="573">
        <f>IFERROR(IF(VLOOKUP(T$2,MODULY_CBA!$B$3:$N$23,13,0)&lt;=$D56,SUM(T$5:T$14)*VLOOKUP(T$2,MODULY_CBA!$B$3:$M$23,12,0),0),0)</f>
        <v>0</v>
      </c>
      <c r="U56" s="573">
        <f>IFERROR(IF(VLOOKUP(U$2,MODULY_CBA!$B$3:$N$23,13,0)&lt;=$D56,SUM(U$5:U$14)*VLOOKUP(U$2,MODULY_CBA!$B$3:$M$23,12,0),0),0)</f>
        <v>0</v>
      </c>
      <c r="V56" s="573">
        <f>IFERROR(IF(VLOOKUP(V$2,MODULY_CBA!$B$3:$N$23,13,0)&lt;=$D56,SUM(V$5:V$14)*VLOOKUP(V$2,MODULY_CBA!$B$3:$M$23,12,0),0),0)</f>
        <v>0</v>
      </c>
      <c r="W56" s="573">
        <f>IFERROR(IF(VLOOKUP(W$2,MODULY_CBA!$B$3:$N$23,13,0)&lt;=$D56,SUM(W$5:W$14)*VLOOKUP(W$2,MODULY_CBA!$B$3:$M$23,12,0),0),0)</f>
        <v>0</v>
      </c>
      <c r="X56" s="573">
        <f>IFERROR(IF(VLOOKUP(X$2,MODULY_CBA!$B$3:$N$23,13,0)&lt;=$D56,SUM(X$5:X$14)*VLOOKUP(X$2,MODULY_CBA!$B$3:$M$23,12,0),0),0)</f>
        <v>0</v>
      </c>
      <c r="Y56" s="573">
        <f>IFERROR(IF(VLOOKUP(Y$2,MODULY_CBA!$B$3:$N$23,13,0)&lt;=$D56,SUM(Y$5:Y$14)*VLOOKUP(Y$2,MODULY_CBA!$B$3:$M$23,12,0),0),0)</f>
        <v>0</v>
      </c>
      <c r="Z56" s="573">
        <f>IFERROR(IF(VLOOKUP(Z$2,MODULY_CBA!$B$3:$N$23,13,0)&lt;=$D56,SUM(Z$5:Z$14)*VLOOKUP(Z$2,MODULY_CBA!$B$3:$M$23,12,0),0),0)</f>
        <v>0</v>
      </c>
    </row>
    <row r="57" spans="1:26" outlineLevel="1">
      <c r="A57" s="817"/>
      <c r="B57" s="818"/>
      <c r="C57" s="818"/>
      <c r="D57" s="494">
        <v>2</v>
      </c>
      <c r="E57" s="68">
        <f t="shared" si="7"/>
        <v>0</v>
      </c>
      <c r="F57" s="574">
        <f>IFERROR(IF(VLOOKUP(F$2,MODULY_CBA!$B$3:$N$23,13,0)&lt;=$D57,SUM(F$5:F$14)*VLOOKUP(F$2,MODULY_CBA!$B$3:$M$23,12,0),0),0)</f>
        <v>0</v>
      </c>
      <c r="G57" s="574">
        <f>IFERROR(IF(VLOOKUP(G$2,MODULY_CBA!$B$3:$N$23,13,0)&lt;=$D57,SUM(G$5:G$14)*VLOOKUP(G$2,MODULY_CBA!$B$3:$M$23,12,0),0),0)</f>
        <v>0</v>
      </c>
      <c r="H57" s="574">
        <f>IFERROR(IF(VLOOKUP(H$2,MODULY_CBA!$B$3:$N$23,13,0)&lt;=$D57,SUM(H$5:H$14)*VLOOKUP(H$2,MODULY_CBA!$B$3:$M$23,12,0),0),0)</f>
        <v>0</v>
      </c>
      <c r="I57" s="574">
        <f>IFERROR(IF(VLOOKUP(I$2,MODULY_CBA!$B$3:$N$23,13,0)&lt;=$D57,SUM(I$5:I$14)*VLOOKUP(I$2,MODULY_CBA!$B$3:$M$23,12,0),0),0)</f>
        <v>0</v>
      </c>
      <c r="J57" s="574">
        <f>IFERROR(IF(VLOOKUP(J$2,MODULY_CBA!$B$3:$N$23,13,0)&lt;=$D57,SUM(J$5:J$14)*VLOOKUP(J$2,MODULY_CBA!$B$3:$M$23,12,0),0),0)</f>
        <v>0</v>
      </c>
      <c r="K57" s="574">
        <f>IFERROR(IF(VLOOKUP(K$2,MODULY_CBA!$B$3:$N$23,13,0)&lt;=$D57,SUM(K$5:K$14)*VLOOKUP(K$2,MODULY_CBA!$B$3:$M$23,12,0),0),0)</f>
        <v>0</v>
      </c>
      <c r="L57" s="574">
        <f>IFERROR(IF(VLOOKUP(L$2,MODULY_CBA!$B$3:$N$23,13,0)&lt;=$D57,SUM(L$5:L$14)*VLOOKUP(L$2,MODULY_CBA!$B$3:$M$23,12,0),0),0)</f>
        <v>0</v>
      </c>
      <c r="M57" s="574">
        <f>IFERROR(IF(VLOOKUP(M$2,MODULY_CBA!$B$3:$N$23,13,0)&lt;=$D57,SUM(M$5:M$14)*VLOOKUP(M$2,MODULY_CBA!$B$3:$M$23,12,0),0),0)</f>
        <v>0</v>
      </c>
      <c r="N57" s="574">
        <f>IFERROR(IF(VLOOKUP(N$2,MODULY_CBA!$B$3:$N$23,13,0)&lt;=$D57,SUM(N$5:N$14)*VLOOKUP(N$2,MODULY_CBA!$B$3:$M$23,12,0),0),0)</f>
        <v>0</v>
      </c>
      <c r="O57" s="574">
        <f>IFERROR(IF(VLOOKUP(O$2,MODULY_CBA!$B$3:$N$23,13,0)&lt;=$D57,SUM(O$5:O$14)*VLOOKUP(O$2,MODULY_CBA!$B$3:$M$23,12,0),0),0)</f>
        <v>0</v>
      </c>
      <c r="P57" s="574">
        <f>IFERROR(IF(VLOOKUP(P$2,MODULY_CBA!$B$3:$N$23,13,0)&lt;=$D57,SUM(P$5:P$14)*VLOOKUP(P$2,MODULY_CBA!$B$3:$M$23,12,0),0),0)</f>
        <v>0</v>
      </c>
      <c r="Q57" s="574">
        <f>IFERROR(IF(VLOOKUP(Q$2,MODULY_CBA!$B$3:$N$23,13,0)&lt;=$D57,SUM(Q$5:Q$14)*VLOOKUP(Q$2,MODULY_CBA!$B$3:$M$23,12,0),0),0)</f>
        <v>0</v>
      </c>
      <c r="R57" s="574">
        <f>IFERROR(IF(VLOOKUP(R$2,MODULY_CBA!$B$3:$N$23,13,0)&lt;=$D57,SUM(R$5:R$14)*VLOOKUP(R$2,MODULY_CBA!$B$3:$M$23,12,0),0),0)</f>
        <v>0</v>
      </c>
      <c r="S57" s="574">
        <f>IFERROR(IF(VLOOKUP(S$2,MODULY_CBA!$B$3:$N$23,13,0)&lt;=$D57,SUM(S$5:S$14)*VLOOKUP(S$2,MODULY_CBA!$B$3:$M$23,12,0),0),0)</f>
        <v>0</v>
      </c>
      <c r="T57" s="574">
        <f>IFERROR(IF(VLOOKUP(T$2,MODULY_CBA!$B$3:$N$23,13,0)&lt;=$D57,SUM(T$5:T$14)*VLOOKUP(T$2,MODULY_CBA!$B$3:$M$23,12,0),0),0)</f>
        <v>0</v>
      </c>
      <c r="U57" s="574">
        <f>IFERROR(IF(VLOOKUP(U$2,MODULY_CBA!$B$3:$N$23,13,0)&lt;=$D57,SUM(U$5:U$14)*VLOOKUP(U$2,MODULY_CBA!$B$3:$M$23,12,0),0),0)</f>
        <v>0</v>
      </c>
      <c r="V57" s="574">
        <f>IFERROR(IF(VLOOKUP(V$2,MODULY_CBA!$B$3:$N$23,13,0)&lt;=$D57,SUM(V$5:V$14)*VLOOKUP(V$2,MODULY_CBA!$B$3:$M$23,12,0),0),0)</f>
        <v>0</v>
      </c>
      <c r="W57" s="574">
        <f>IFERROR(IF(VLOOKUP(W$2,MODULY_CBA!$B$3:$N$23,13,0)&lt;=$D57,SUM(W$5:W$14)*VLOOKUP(W$2,MODULY_CBA!$B$3:$M$23,12,0),0),0)</f>
        <v>0</v>
      </c>
      <c r="X57" s="574">
        <f>IFERROR(IF(VLOOKUP(X$2,MODULY_CBA!$B$3:$N$23,13,0)&lt;=$D57,SUM(X$5:X$14)*VLOOKUP(X$2,MODULY_CBA!$B$3:$M$23,12,0),0),0)</f>
        <v>0</v>
      </c>
      <c r="Y57" s="574">
        <f>IFERROR(IF(VLOOKUP(Y$2,MODULY_CBA!$B$3:$N$23,13,0)&lt;=$D57,SUM(Y$5:Y$14)*VLOOKUP(Y$2,MODULY_CBA!$B$3:$M$23,12,0),0),0)</f>
        <v>0</v>
      </c>
      <c r="Z57" s="574">
        <f>IFERROR(IF(VLOOKUP(Z$2,MODULY_CBA!$B$3:$N$23,13,0)&lt;=$D57,SUM(Z$5:Z$14)*VLOOKUP(Z$2,MODULY_CBA!$B$3:$M$23,12,0),0),0)</f>
        <v>0</v>
      </c>
    </row>
    <row r="58" spans="1:26" outlineLevel="1">
      <c r="A58" s="817"/>
      <c r="B58" s="818"/>
      <c r="C58" s="818"/>
      <c r="D58" s="494">
        <v>3</v>
      </c>
      <c r="E58" s="68">
        <f t="shared" si="7"/>
        <v>0</v>
      </c>
      <c r="F58" s="574">
        <f>IFERROR(IF(VLOOKUP(F$2,MODULY_CBA!$B$3:$N$23,13,0)&lt;=$D58,SUM(F$5:F$14)*VLOOKUP(F$2,MODULY_CBA!$B$3:$M$23,12,0),0),0)</f>
        <v>0</v>
      </c>
      <c r="G58" s="574">
        <f>IFERROR(IF(VLOOKUP(G$2,MODULY_CBA!$B$3:$N$23,13,0)&lt;=$D58,SUM(G$5:G$14)*VLOOKUP(G$2,MODULY_CBA!$B$3:$M$23,12,0),0),0)</f>
        <v>0</v>
      </c>
      <c r="H58" s="574">
        <f>IFERROR(IF(VLOOKUP(H$2,MODULY_CBA!$B$3:$N$23,13,0)&lt;=$D58,SUM(H$5:H$14)*VLOOKUP(H$2,MODULY_CBA!$B$3:$M$23,12,0),0),0)</f>
        <v>0</v>
      </c>
      <c r="I58" s="574">
        <f>IFERROR(IF(VLOOKUP(I$2,MODULY_CBA!$B$3:$N$23,13,0)&lt;=$D58,SUM(I$5:I$14)*VLOOKUP(I$2,MODULY_CBA!$B$3:$M$23,12,0),0),0)</f>
        <v>0</v>
      </c>
      <c r="J58" s="574">
        <f>IFERROR(IF(VLOOKUP(J$2,MODULY_CBA!$B$3:$N$23,13,0)&lt;=$D58,SUM(J$5:J$14)*VLOOKUP(J$2,MODULY_CBA!$B$3:$M$23,12,0),0),0)</f>
        <v>0</v>
      </c>
      <c r="K58" s="574">
        <f>IFERROR(IF(VLOOKUP(K$2,MODULY_CBA!$B$3:$N$23,13,0)&lt;=$D58,SUM(K$5:K$14)*VLOOKUP(K$2,MODULY_CBA!$B$3:$M$23,12,0),0),0)</f>
        <v>0</v>
      </c>
      <c r="L58" s="574">
        <f>IFERROR(IF(VLOOKUP(L$2,MODULY_CBA!$B$3:$N$23,13,0)&lt;=$D58,SUM(L$5:L$14)*VLOOKUP(L$2,MODULY_CBA!$B$3:$M$23,12,0),0),0)</f>
        <v>0</v>
      </c>
      <c r="M58" s="574">
        <f>IFERROR(IF(VLOOKUP(M$2,MODULY_CBA!$B$3:$N$23,13,0)&lt;=$D58,SUM(M$5:M$14)*VLOOKUP(M$2,MODULY_CBA!$B$3:$M$23,12,0),0),0)</f>
        <v>0</v>
      </c>
      <c r="N58" s="574">
        <f>IFERROR(IF(VLOOKUP(N$2,MODULY_CBA!$B$3:$N$23,13,0)&lt;=$D58,SUM(N$5:N$14)*VLOOKUP(N$2,MODULY_CBA!$B$3:$M$23,12,0),0),0)</f>
        <v>0</v>
      </c>
      <c r="O58" s="574">
        <f>IFERROR(IF(VLOOKUP(O$2,MODULY_CBA!$B$3:$N$23,13,0)&lt;=$D58,SUM(O$5:O$14)*VLOOKUP(O$2,MODULY_CBA!$B$3:$M$23,12,0),0),0)</f>
        <v>0</v>
      </c>
      <c r="P58" s="574">
        <f>IFERROR(IF(VLOOKUP(P$2,MODULY_CBA!$B$3:$N$23,13,0)&lt;=$D58,SUM(P$5:P$14)*VLOOKUP(P$2,MODULY_CBA!$B$3:$M$23,12,0),0),0)</f>
        <v>0</v>
      </c>
      <c r="Q58" s="574">
        <f>IFERROR(IF(VLOOKUP(Q$2,MODULY_CBA!$B$3:$N$23,13,0)&lt;=$D58,SUM(Q$5:Q$14)*VLOOKUP(Q$2,MODULY_CBA!$B$3:$M$23,12,0),0),0)</f>
        <v>0</v>
      </c>
      <c r="R58" s="574">
        <f>IFERROR(IF(VLOOKUP(R$2,MODULY_CBA!$B$3:$N$23,13,0)&lt;=$D58,SUM(R$5:R$14)*VLOOKUP(R$2,MODULY_CBA!$B$3:$M$23,12,0),0),0)</f>
        <v>0</v>
      </c>
      <c r="S58" s="574">
        <f>IFERROR(IF(VLOOKUP(S$2,MODULY_CBA!$B$3:$N$23,13,0)&lt;=$D58,SUM(S$5:S$14)*VLOOKUP(S$2,MODULY_CBA!$B$3:$M$23,12,0),0),0)</f>
        <v>0</v>
      </c>
      <c r="T58" s="574">
        <f>IFERROR(IF(VLOOKUP(T$2,MODULY_CBA!$B$3:$N$23,13,0)&lt;=$D58,SUM(T$5:T$14)*VLOOKUP(T$2,MODULY_CBA!$B$3:$M$23,12,0),0),0)</f>
        <v>0</v>
      </c>
      <c r="U58" s="574">
        <f>IFERROR(IF(VLOOKUP(U$2,MODULY_CBA!$B$3:$N$23,13,0)&lt;=$D58,SUM(U$5:U$14)*VLOOKUP(U$2,MODULY_CBA!$B$3:$M$23,12,0),0),0)</f>
        <v>0</v>
      </c>
      <c r="V58" s="574">
        <f>IFERROR(IF(VLOOKUP(V$2,MODULY_CBA!$B$3:$N$23,13,0)&lt;=$D58,SUM(V$5:V$14)*VLOOKUP(V$2,MODULY_CBA!$B$3:$M$23,12,0),0),0)</f>
        <v>0</v>
      </c>
      <c r="W58" s="574">
        <f>IFERROR(IF(VLOOKUP(W$2,MODULY_CBA!$B$3:$N$23,13,0)&lt;=$D58,SUM(W$5:W$14)*VLOOKUP(W$2,MODULY_CBA!$B$3:$M$23,12,0),0),0)</f>
        <v>0</v>
      </c>
      <c r="X58" s="574">
        <f>IFERROR(IF(VLOOKUP(X$2,MODULY_CBA!$B$3:$N$23,13,0)&lt;=$D58,SUM(X$5:X$14)*VLOOKUP(X$2,MODULY_CBA!$B$3:$M$23,12,0),0),0)</f>
        <v>0</v>
      </c>
      <c r="Y58" s="574">
        <f>IFERROR(IF(VLOOKUP(Y$2,MODULY_CBA!$B$3:$N$23,13,0)&lt;=$D58,SUM(Y$5:Y$14)*VLOOKUP(Y$2,MODULY_CBA!$B$3:$M$23,12,0),0),0)</f>
        <v>0</v>
      </c>
      <c r="Z58" s="574">
        <f>IFERROR(IF(VLOOKUP(Z$2,MODULY_CBA!$B$3:$N$23,13,0)&lt;=$D58,SUM(Z$5:Z$14)*VLOOKUP(Z$2,MODULY_CBA!$B$3:$M$23,12,0),0),0)</f>
        <v>0</v>
      </c>
    </row>
    <row r="59" spans="1:26" outlineLevel="1">
      <c r="A59" s="817"/>
      <c r="B59" s="818"/>
      <c r="C59" s="818"/>
      <c r="D59" s="494">
        <v>4</v>
      </c>
      <c r="E59" s="68">
        <f t="shared" si="7"/>
        <v>0</v>
      </c>
      <c r="F59" s="574">
        <f>IFERROR(IF(VLOOKUP(F$2,MODULY_CBA!$B$3:$N$23,13,0)&lt;=$D59,SUM(F$5:F$14)*VLOOKUP(F$2,MODULY_CBA!$B$3:$M$23,12,0),0),0)</f>
        <v>0</v>
      </c>
      <c r="G59" s="574">
        <f>IFERROR(IF(VLOOKUP(G$2,MODULY_CBA!$B$3:$N$23,13,0)&lt;=$D59,SUM(G$5:G$14)*VLOOKUP(G$2,MODULY_CBA!$B$3:$M$23,12,0),0),0)</f>
        <v>0</v>
      </c>
      <c r="H59" s="574">
        <f>IFERROR(IF(VLOOKUP(H$2,MODULY_CBA!$B$3:$N$23,13,0)&lt;=$D59,SUM(H$5:H$14)*VLOOKUP(H$2,MODULY_CBA!$B$3:$M$23,12,0),0),0)</f>
        <v>0</v>
      </c>
      <c r="I59" s="574">
        <f>IFERROR(IF(VLOOKUP(I$2,MODULY_CBA!$B$3:$N$23,13,0)&lt;=$D59,SUM(I$5:I$14)*VLOOKUP(I$2,MODULY_CBA!$B$3:$M$23,12,0),0),0)</f>
        <v>0</v>
      </c>
      <c r="J59" s="574">
        <f>IFERROR(IF(VLOOKUP(J$2,MODULY_CBA!$B$3:$N$23,13,0)&lt;=$D59,SUM(J$5:J$14)*VLOOKUP(J$2,MODULY_CBA!$B$3:$M$23,12,0),0),0)</f>
        <v>0</v>
      </c>
      <c r="K59" s="574">
        <f>IFERROR(IF(VLOOKUP(K$2,MODULY_CBA!$B$3:$N$23,13,0)&lt;=$D59,SUM(K$5:K$14)*VLOOKUP(K$2,MODULY_CBA!$B$3:$M$23,12,0),0),0)</f>
        <v>0</v>
      </c>
      <c r="L59" s="574">
        <f>IFERROR(IF(VLOOKUP(L$2,MODULY_CBA!$B$3:$N$23,13,0)&lt;=$D59,SUM(L$5:L$14)*VLOOKUP(L$2,MODULY_CBA!$B$3:$M$23,12,0),0),0)</f>
        <v>0</v>
      </c>
      <c r="M59" s="574">
        <f>IFERROR(IF(VLOOKUP(M$2,MODULY_CBA!$B$3:$N$23,13,0)&lt;=$D59,SUM(M$5:M$14)*VLOOKUP(M$2,MODULY_CBA!$B$3:$M$23,12,0),0),0)</f>
        <v>0</v>
      </c>
      <c r="N59" s="574">
        <f>IFERROR(IF(VLOOKUP(N$2,MODULY_CBA!$B$3:$N$23,13,0)&lt;=$D59,SUM(N$5:N$14)*VLOOKUP(N$2,MODULY_CBA!$B$3:$M$23,12,0),0),0)</f>
        <v>0</v>
      </c>
      <c r="O59" s="574">
        <f>IFERROR(IF(VLOOKUP(O$2,MODULY_CBA!$B$3:$N$23,13,0)&lt;=$D59,SUM(O$5:O$14)*VLOOKUP(O$2,MODULY_CBA!$B$3:$M$23,12,0),0),0)</f>
        <v>0</v>
      </c>
      <c r="P59" s="574">
        <f>IFERROR(IF(VLOOKUP(P$2,MODULY_CBA!$B$3:$N$23,13,0)&lt;=$D59,SUM(P$5:P$14)*VLOOKUP(P$2,MODULY_CBA!$B$3:$M$23,12,0),0),0)</f>
        <v>0</v>
      </c>
      <c r="Q59" s="574">
        <f>IFERROR(IF(VLOOKUP(Q$2,MODULY_CBA!$B$3:$N$23,13,0)&lt;=$D59,SUM(Q$5:Q$14)*VLOOKUP(Q$2,MODULY_CBA!$B$3:$M$23,12,0),0),0)</f>
        <v>0</v>
      </c>
      <c r="R59" s="574">
        <f>IFERROR(IF(VLOOKUP(R$2,MODULY_CBA!$B$3:$N$23,13,0)&lt;=$D59,SUM(R$5:R$14)*VLOOKUP(R$2,MODULY_CBA!$B$3:$M$23,12,0),0),0)</f>
        <v>0</v>
      </c>
      <c r="S59" s="574">
        <f>IFERROR(IF(VLOOKUP(S$2,MODULY_CBA!$B$3:$N$23,13,0)&lt;=$D59,SUM(S$5:S$14)*VLOOKUP(S$2,MODULY_CBA!$B$3:$M$23,12,0),0),0)</f>
        <v>0</v>
      </c>
      <c r="T59" s="574">
        <f>IFERROR(IF(VLOOKUP(T$2,MODULY_CBA!$B$3:$N$23,13,0)&lt;=$D59,SUM(T$5:T$14)*VLOOKUP(T$2,MODULY_CBA!$B$3:$M$23,12,0),0),0)</f>
        <v>0</v>
      </c>
      <c r="U59" s="574">
        <f>IFERROR(IF(VLOOKUP(U$2,MODULY_CBA!$B$3:$N$23,13,0)&lt;=$D59,SUM(U$5:U$14)*VLOOKUP(U$2,MODULY_CBA!$B$3:$M$23,12,0),0),0)</f>
        <v>0</v>
      </c>
      <c r="V59" s="574">
        <f>IFERROR(IF(VLOOKUP(V$2,MODULY_CBA!$B$3:$N$23,13,0)&lt;=$D59,SUM(V$5:V$14)*VLOOKUP(V$2,MODULY_CBA!$B$3:$M$23,12,0),0),0)</f>
        <v>0</v>
      </c>
      <c r="W59" s="574">
        <f>IFERROR(IF(VLOOKUP(W$2,MODULY_CBA!$B$3:$N$23,13,0)&lt;=$D59,SUM(W$5:W$14)*VLOOKUP(W$2,MODULY_CBA!$B$3:$M$23,12,0),0),0)</f>
        <v>0</v>
      </c>
      <c r="X59" s="574">
        <f>IFERROR(IF(VLOOKUP(X$2,MODULY_CBA!$B$3:$N$23,13,0)&lt;=$D59,SUM(X$5:X$14)*VLOOKUP(X$2,MODULY_CBA!$B$3:$M$23,12,0),0),0)</f>
        <v>0</v>
      </c>
      <c r="Y59" s="574">
        <f>IFERROR(IF(VLOOKUP(Y$2,MODULY_CBA!$B$3:$N$23,13,0)&lt;=$D59,SUM(Y$5:Y$14)*VLOOKUP(Y$2,MODULY_CBA!$B$3:$M$23,12,0),0),0)</f>
        <v>0</v>
      </c>
      <c r="Z59" s="574">
        <f>IFERROR(IF(VLOOKUP(Z$2,MODULY_CBA!$B$3:$N$23,13,0)&lt;=$D59,SUM(Z$5:Z$14)*VLOOKUP(Z$2,MODULY_CBA!$B$3:$M$23,12,0),0),0)</f>
        <v>0</v>
      </c>
    </row>
    <row r="60" spans="1:26" outlineLevel="1">
      <c r="A60" s="817"/>
      <c r="B60" s="818"/>
      <c r="C60" s="818"/>
      <c r="D60" s="494">
        <v>5</v>
      </c>
      <c r="E60" s="68">
        <f t="shared" si="7"/>
        <v>0</v>
      </c>
      <c r="F60" s="574">
        <f>IFERROR(IF(VLOOKUP(F$2,MODULY_CBA!$B$3:$N$23,13,0)&lt;=$D60,SUM(F$5:F$14)*VLOOKUP(F$2,MODULY_CBA!$B$3:$M$23,12,0),0),0)</f>
        <v>0</v>
      </c>
      <c r="G60" s="574">
        <f>IFERROR(IF(VLOOKUP(G$2,MODULY_CBA!$B$3:$N$23,13,0)&lt;=$D60,SUM(G$5:G$14)*VLOOKUP(G$2,MODULY_CBA!$B$3:$M$23,12,0),0),0)</f>
        <v>0</v>
      </c>
      <c r="H60" s="574">
        <f>IFERROR(IF(VLOOKUP(H$2,MODULY_CBA!$B$3:$N$23,13,0)&lt;=$D60,SUM(H$5:H$14)*VLOOKUP(H$2,MODULY_CBA!$B$3:$M$23,12,0),0),0)</f>
        <v>0</v>
      </c>
      <c r="I60" s="574">
        <f>IFERROR(IF(VLOOKUP(I$2,MODULY_CBA!$B$3:$N$23,13,0)&lt;=$D60,SUM(I$5:I$14)*VLOOKUP(I$2,MODULY_CBA!$B$3:$M$23,12,0),0),0)</f>
        <v>0</v>
      </c>
      <c r="J60" s="574">
        <f>IFERROR(IF(VLOOKUP(J$2,MODULY_CBA!$B$3:$N$23,13,0)&lt;=$D60,SUM(J$5:J$14)*VLOOKUP(J$2,MODULY_CBA!$B$3:$M$23,12,0),0),0)</f>
        <v>0</v>
      </c>
      <c r="K60" s="574">
        <f>IFERROR(IF(VLOOKUP(K$2,MODULY_CBA!$B$3:$N$23,13,0)&lt;=$D60,SUM(K$5:K$14)*VLOOKUP(K$2,MODULY_CBA!$B$3:$M$23,12,0),0),0)</f>
        <v>0</v>
      </c>
      <c r="L60" s="574">
        <f>IFERROR(IF(VLOOKUP(L$2,MODULY_CBA!$B$3:$N$23,13,0)&lt;=$D60,SUM(L$5:L$14)*VLOOKUP(L$2,MODULY_CBA!$B$3:$M$23,12,0),0),0)</f>
        <v>0</v>
      </c>
      <c r="M60" s="574">
        <f>IFERROR(IF(VLOOKUP(M$2,MODULY_CBA!$B$3:$N$23,13,0)&lt;=$D60,SUM(M$5:M$14)*VLOOKUP(M$2,MODULY_CBA!$B$3:$M$23,12,0),0),0)</f>
        <v>0</v>
      </c>
      <c r="N60" s="574">
        <f>IFERROR(IF(VLOOKUP(N$2,MODULY_CBA!$B$3:$N$23,13,0)&lt;=$D60,SUM(N$5:N$14)*VLOOKUP(N$2,MODULY_CBA!$B$3:$M$23,12,0),0),0)</f>
        <v>0</v>
      </c>
      <c r="O60" s="574">
        <f>IFERROR(IF(VLOOKUP(O$2,MODULY_CBA!$B$3:$N$23,13,0)&lt;=$D60,SUM(O$5:O$14)*VLOOKUP(O$2,MODULY_CBA!$B$3:$M$23,12,0),0),0)</f>
        <v>0</v>
      </c>
      <c r="P60" s="574">
        <f>IFERROR(IF(VLOOKUP(P$2,MODULY_CBA!$B$3:$N$23,13,0)&lt;=$D60,SUM(P$5:P$14)*VLOOKUP(P$2,MODULY_CBA!$B$3:$M$23,12,0),0),0)</f>
        <v>0</v>
      </c>
      <c r="Q60" s="574">
        <f>IFERROR(IF(VLOOKUP(Q$2,MODULY_CBA!$B$3:$N$23,13,0)&lt;=$D60,SUM(Q$5:Q$14)*VLOOKUP(Q$2,MODULY_CBA!$B$3:$M$23,12,0),0),0)</f>
        <v>0</v>
      </c>
      <c r="R60" s="574">
        <f>IFERROR(IF(VLOOKUP(R$2,MODULY_CBA!$B$3:$N$23,13,0)&lt;=$D60,SUM(R$5:R$14)*VLOOKUP(R$2,MODULY_CBA!$B$3:$M$23,12,0),0),0)</f>
        <v>0</v>
      </c>
      <c r="S60" s="574">
        <f>IFERROR(IF(VLOOKUP(S$2,MODULY_CBA!$B$3:$N$23,13,0)&lt;=$D60,SUM(S$5:S$14)*VLOOKUP(S$2,MODULY_CBA!$B$3:$M$23,12,0),0),0)</f>
        <v>0</v>
      </c>
      <c r="T60" s="574">
        <f>IFERROR(IF(VLOOKUP(T$2,MODULY_CBA!$B$3:$N$23,13,0)&lt;=$D60,SUM(T$5:T$14)*VLOOKUP(T$2,MODULY_CBA!$B$3:$M$23,12,0),0),0)</f>
        <v>0</v>
      </c>
      <c r="U60" s="574">
        <f>IFERROR(IF(VLOOKUP(U$2,MODULY_CBA!$B$3:$N$23,13,0)&lt;=$D60,SUM(U$5:U$14)*VLOOKUP(U$2,MODULY_CBA!$B$3:$M$23,12,0),0),0)</f>
        <v>0</v>
      </c>
      <c r="V60" s="574">
        <f>IFERROR(IF(VLOOKUP(V$2,MODULY_CBA!$B$3:$N$23,13,0)&lt;=$D60,SUM(V$5:V$14)*VLOOKUP(V$2,MODULY_CBA!$B$3:$M$23,12,0),0),0)</f>
        <v>0</v>
      </c>
      <c r="W60" s="574">
        <f>IFERROR(IF(VLOOKUP(W$2,MODULY_CBA!$B$3:$N$23,13,0)&lt;=$D60,SUM(W$5:W$14)*VLOOKUP(W$2,MODULY_CBA!$B$3:$M$23,12,0),0),0)</f>
        <v>0</v>
      </c>
      <c r="X60" s="574">
        <f>IFERROR(IF(VLOOKUP(X$2,MODULY_CBA!$B$3:$N$23,13,0)&lt;=$D60,SUM(X$5:X$14)*VLOOKUP(X$2,MODULY_CBA!$B$3:$M$23,12,0),0),0)</f>
        <v>0</v>
      </c>
      <c r="Y60" s="574">
        <f>IFERROR(IF(VLOOKUP(Y$2,MODULY_CBA!$B$3:$N$23,13,0)&lt;=$D60,SUM(Y$5:Y$14)*VLOOKUP(Y$2,MODULY_CBA!$B$3:$M$23,12,0),0),0)</f>
        <v>0</v>
      </c>
      <c r="Z60" s="574">
        <f>IFERROR(IF(VLOOKUP(Z$2,MODULY_CBA!$B$3:$N$23,13,0)&lt;=$D60,SUM(Z$5:Z$14)*VLOOKUP(Z$2,MODULY_CBA!$B$3:$M$23,12,0),0),0)</f>
        <v>0</v>
      </c>
    </row>
    <row r="61" spans="1:26" outlineLevel="1">
      <c r="A61" s="817"/>
      <c r="B61" s="818"/>
      <c r="C61" s="818"/>
      <c r="D61" s="494">
        <v>6</v>
      </c>
      <c r="E61" s="68">
        <f t="shared" si="7"/>
        <v>0</v>
      </c>
      <c r="F61" s="574">
        <f>IFERROR(IF(VLOOKUP(F$2,MODULY_CBA!$B$3:$N$23,13,0)&lt;=$D61,SUM(F$5:F$14)*VLOOKUP(F$2,MODULY_CBA!$B$3:$M$23,12,0),0),0)</f>
        <v>0</v>
      </c>
      <c r="G61" s="574">
        <f>IFERROR(IF(VLOOKUP(G$2,MODULY_CBA!$B$3:$N$23,13,0)&lt;=$D61,SUM(G$5:G$14)*VLOOKUP(G$2,MODULY_CBA!$B$3:$M$23,12,0),0),0)</f>
        <v>0</v>
      </c>
      <c r="H61" s="574">
        <f>IFERROR(IF(VLOOKUP(H$2,MODULY_CBA!$B$3:$N$23,13,0)&lt;=$D61,SUM(H$5:H$14)*VLOOKUP(H$2,MODULY_CBA!$B$3:$M$23,12,0),0),0)</f>
        <v>0</v>
      </c>
      <c r="I61" s="574">
        <f>IFERROR(IF(VLOOKUP(I$2,MODULY_CBA!$B$3:$N$23,13,0)&lt;=$D61,SUM(I$5:I$14)*VLOOKUP(I$2,MODULY_CBA!$B$3:$M$23,12,0),0),0)</f>
        <v>0</v>
      </c>
      <c r="J61" s="574">
        <f>IFERROR(IF(VLOOKUP(J$2,MODULY_CBA!$B$3:$N$23,13,0)&lt;=$D61,SUM(J$5:J$14)*VLOOKUP(J$2,MODULY_CBA!$B$3:$M$23,12,0),0),0)</f>
        <v>0</v>
      </c>
      <c r="K61" s="574">
        <f>IFERROR(IF(VLOOKUP(K$2,MODULY_CBA!$B$3:$N$23,13,0)&lt;=$D61,SUM(K$5:K$14)*VLOOKUP(K$2,MODULY_CBA!$B$3:$M$23,12,0),0),0)</f>
        <v>0</v>
      </c>
      <c r="L61" s="574">
        <f>IFERROR(IF(VLOOKUP(L$2,MODULY_CBA!$B$3:$N$23,13,0)&lt;=$D61,SUM(L$5:L$14)*VLOOKUP(L$2,MODULY_CBA!$B$3:$M$23,12,0),0),0)</f>
        <v>0</v>
      </c>
      <c r="M61" s="574">
        <f>IFERROR(IF(VLOOKUP(M$2,MODULY_CBA!$B$3:$N$23,13,0)&lt;=$D61,SUM(M$5:M$14)*VLOOKUP(M$2,MODULY_CBA!$B$3:$M$23,12,0),0),0)</f>
        <v>0</v>
      </c>
      <c r="N61" s="574">
        <f>IFERROR(IF(VLOOKUP(N$2,MODULY_CBA!$B$3:$N$23,13,0)&lt;=$D61,SUM(N$5:N$14)*VLOOKUP(N$2,MODULY_CBA!$B$3:$M$23,12,0),0),0)</f>
        <v>0</v>
      </c>
      <c r="O61" s="574">
        <f>IFERROR(IF(VLOOKUP(O$2,MODULY_CBA!$B$3:$N$23,13,0)&lt;=$D61,SUM(O$5:O$14)*VLOOKUP(O$2,MODULY_CBA!$B$3:$M$23,12,0),0),0)</f>
        <v>0</v>
      </c>
      <c r="P61" s="574">
        <f>IFERROR(IF(VLOOKUP(P$2,MODULY_CBA!$B$3:$N$23,13,0)&lt;=$D61,SUM(P$5:P$14)*VLOOKUP(P$2,MODULY_CBA!$B$3:$M$23,12,0),0),0)</f>
        <v>0</v>
      </c>
      <c r="Q61" s="574">
        <f>IFERROR(IF(VLOOKUP(Q$2,MODULY_CBA!$B$3:$N$23,13,0)&lt;=$D61,SUM(Q$5:Q$14)*VLOOKUP(Q$2,MODULY_CBA!$B$3:$M$23,12,0),0),0)</f>
        <v>0</v>
      </c>
      <c r="R61" s="574">
        <f>IFERROR(IF(VLOOKUP(R$2,MODULY_CBA!$B$3:$N$23,13,0)&lt;=$D61,SUM(R$5:R$14)*VLOOKUP(R$2,MODULY_CBA!$B$3:$M$23,12,0),0),0)</f>
        <v>0</v>
      </c>
      <c r="S61" s="574">
        <f>IFERROR(IF(VLOOKUP(S$2,MODULY_CBA!$B$3:$N$23,13,0)&lt;=$D61,SUM(S$5:S$14)*VLOOKUP(S$2,MODULY_CBA!$B$3:$M$23,12,0),0),0)</f>
        <v>0</v>
      </c>
      <c r="T61" s="574">
        <f>IFERROR(IF(VLOOKUP(T$2,MODULY_CBA!$B$3:$N$23,13,0)&lt;=$D61,SUM(T$5:T$14)*VLOOKUP(T$2,MODULY_CBA!$B$3:$M$23,12,0),0),0)</f>
        <v>0</v>
      </c>
      <c r="U61" s="574">
        <f>IFERROR(IF(VLOOKUP(U$2,MODULY_CBA!$B$3:$N$23,13,0)&lt;=$D61,SUM(U$5:U$14)*VLOOKUP(U$2,MODULY_CBA!$B$3:$M$23,12,0),0),0)</f>
        <v>0</v>
      </c>
      <c r="V61" s="574">
        <f>IFERROR(IF(VLOOKUP(V$2,MODULY_CBA!$B$3:$N$23,13,0)&lt;=$D61,SUM(V$5:V$14)*VLOOKUP(V$2,MODULY_CBA!$B$3:$M$23,12,0),0),0)</f>
        <v>0</v>
      </c>
      <c r="W61" s="574">
        <f>IFERROR(IF(VLOOKUP(W$2,MODULY_CBA!$B$3:$N$23,13,0)&lt;=$D61,SUM(W$5:W$14)*VLOOKUP(W$2,MODULY_CBA!$B$3:$M$23,12,0),0),0)</f>
        <v>0</v>
      </c>
      <c r="X61" s="574">
        <f>IFERROR(IF(VLOOKUP(X$2,MODULY_CBA!$B$3:$N$23,13,0)&lt;=$D61,SUM(X$5:X$14)*VLOOKUP(X$2,MODULY_CBA!$B$3:$M$23,12,0),0),0)</f>
        <v>0</v>
      </c>
      <c r="Y61" s="574">
        <f>IFERROR(IF(VLOOKUP(Y$2,MODULY_CBA!$B$3:$N$23,13,0)&lt;=$D61,SUM(Y$5:Y$14)*VLOOKUP(Y$2,MODULY_CBA!$B$3:$M$23,12,0),0),0)</f>
        <v>0</v>
      </c>
      <c r="Z61" s="574">
        <f>IFERROR(IF(VLOOKUP(Z$2,MODULY_CBA!$B$3:$N$23,13,0)&lt;=$D61,SUM(Z$5:Z$14)*VLOOKUP(Z$2,MODULY_CBA!$B$3:$M$23,12,0),0),0)</f>
        <v>0</v>
      </c>
    </row>
    <row r="62" spans="1:26" outlineLevel="1">
      <c r="A62" s="817"/>
      <c r="B62" s="818"/>
      <c r="C62" s="818"/>
      <c r="D62" s="494">
        <v>7</v>
      </c>
      <c r="E62" s="68">
        <f t="shared" si="7"/>
        <v>0</v>
      </c>
      <c r="F62" s="574">
        <f>IFERROR(IF(VLOOKUP(F$2,MODULY_CBA!$B$3:$N$23,13,0)&lt;=$D62,SUM(F$5:F$14)*VLOOKUP(F$2,MODULY_CBA!$B$3:$M$23,12,0),0),0)</f>
        <v>0</v>
      </c>
      <c r="G62" s="574">
        <f>IFERROR(IF(VLOOKUP(G$2,MODULY_CBA!$B$3:$N$23,13,0)&lt;=$D62,SUM(G$5:G$14)*VLOOKUP(G$2,MODULY_CBA!$B$3:$M$23,12,0),0),0)</f>
        <v>0</v>
      </c>
      <c r="H62" s="574">
        <f>IFERROR(IF(VLOOKUP(H$2,MODULY_CBA!$B$3:$N$23,13,0)&lt;=$D62,SUM(H$5:H$14)*VLOOKUP(H$2,MODULY_CBA!$B$3:$M$23,12,0),0),0)</f>
        <v>0</v>
      </c>
      <c r="I62" s="574">
        <f>IFERROR(IF(VLOOKUP(I$2,MODULY_CBA!$B$3:$N$23,13,0)&lt;=$D62,SUM(I$5:I$14)*VLOOKUP(I$2,MODULY_CBA!$B$3:$M$23,12,0),0),0)</f>
        <v>0</v>
      </c>
      <c r="J62" s="574">
        <f>IFERROR(IF(VLOOKUP(J$2,MODULY_CBA!$B$3:$N$23,13,0)&lt;=$D62,SUM(J$5:J$14)*VLOOKUP(J$2,MODULY_CBA!$B$3:$M$23,12,0),0),0)</f>
        <v>0</v>
      </c>
      <c r="K62" s="574">
        <f>IFERROR(IF(VLOOKUP(K$2,MODULY_CBA!$B$3:$N$23,13,0)&lt;=$D62,SUM(K$5:K$14)*VLOOKUP(K$2,MODULY_CBA!$B$3:$M$23,12,0),0),0)</f>
        <v>0</v>
      </c>
      <c r="L62" s="574">
        <f>IFERROR(IF(VLOOKUP(L$2,MODULY_CBA!$B$3:$N$23,13,0)&lt;=$D62,SUM(L$5:L$14)*VLOOKUP(L$2,MODULY_CBA!$B$3:$M$23,12,0),0),0)</f>
        <v>0</v>
      </c>
      <c r="M62" s="574">
        <f>IFERROR(IF(VLOOKUP(M$2,MODULY_CBA!$B$3:$N$23,13,0)&lt;=$D62,SUM(M$5:M$14)*VLOOKUP(M$2,MODULY_CBA!$B$3:$M$23,12,0),0),0)</f>
        <v>0</v>
      </c>
      <c r="N62" s="574">
        <f>IFERROR(IF(VLOOKUP(N$2,MODULY_CBA!$B$3:$N$23,13,0)&lt;=$D62,SUM(N$5:N$14)*VLOOKUP(N$2,MODULY_CBA!$B$3:$M$23,12,0),0),0)</f>
        <v>0</v>
      </c>
      <c r="O62" s="574">
        <f>IFERROR(IF(VLOOKUP(O$2,MODULY_CBA!$B$3:$N$23,13,0)&lt;=$D62,SUM(O$5:O$14)*VLOOKUP(O$2,MODULY_CBA!$B$3:$M$23,12,0),0),0)</f>
        <v>0</v>
      </c>
      <c r="P62" s="574">
        <f>IFERROR(IF(VLOOKUP(P$2,MODULY_CBA!$B$3:$N$23,13,0)&lt;=$D62,SUM(P$5:P$14)*VLOOKUP(P$2,MODULY_CBA!$B$3:$M$23,12,0),0),0)</f>
        <v>0</v>
      </c>
      <c r="Q62" s="574">
        <f>IFERROR(IF(VLOOKUP(Q$2,MODULY_CBA!$B$3:$N$23,13,0)&lt;=$D62,SUM(Q$5:Q$14)*VLOOKUP(Q$2,MODULY_CBA!$B$3:$M$23,12,0),0),0)</f>
        <v>0</v>
      </c>
      <c r="R62" s="574">
        <f>IFERROR(IF(VLOOKUP(R$2,MODULY_CBA!$B$3:$N$23,13,0)&lt;=$D62,SUM(R$5:R$14)*VLOOKUP(R$2,MODULY_CBA!$B$3:$M$23,12,0),0),0)</f>
        <v>0</v>
      </c>
      <c r="S62" s="574">
        <f>IFERROR(IF(VLOOKUP(S$2,MODULY_CBA!$B$3:$N$23,13,0)&lt;=$D62,SUM(S$5:S$14)*VLOOKUP(S$2,MODULY_CBA!$B$3:$M$23,12,0),0),0)</f>
        <v>0</v>
      </c>
      <c r="T62" s="574">
        <f>IFERROR(IF(VLOOKUP(T$2,MODULY_CBA!$B$3:$N$23,13,0)&lt;=$D62,SUM(T$5:T$14)*VLOOKUP(T$2,MODULY_CBA!$B$3:$M$23,12,0),0),0)</f>
        <v>0</v>
      </c>
      <c r="U62" s="574">
        <f>IFERROR(IF(VLOOKUP(U$2,MODULY_CBA!$B$3:$N$23,13,0)&lt;=$D62,SUM(U$5:U$14)*VLOOKUP(U$2,MODULY_CBA!$B$3:$M$23,12,0),0),0)</f>
        <v>0</v>
      </c>
      <c r="V62" s="574">
        <f>IFERROR(IF(VLOOKUP(V$2,MODULY_CBA!$B$3:$N$23,13,0)&lt;=$D62,SUM(V$5:V$14)*VLOOKUP(V$2,MODULY_CBA!$B$3:$M$23,12,0),0),0)</f>
        <v>0</v>
      </c>
      <c r="W62" s="574">
        <f>IFERROR(IF(VLOOKUP(W$2,MODULY_CBA!$B$3:$N$23,13,0)&lt;=$D62,SUM(W$5:W$14)*VLOOKUP(W$2,MODULY_CBA!$B$3:$M$23,12,0),0),0)</f>
        <v>0</v>
      </c>
      <c r="X62" s="574">
        <f>IFERROR(IF(VLOOKUP(X$2,MODULY_CBA!$B$3:$N$23,13,0)&lt;=$D62,SUM(X$5:X$14)*VLOOKUP(X$2,MODULY_CBA!$B$3:$M$23,12,0),0),0)</f>
        <v>0</v>
      </c>
      <c r="Y62" s="574">
        <f>IFERROR(IF(VLOOKUP(Y$2,MODULY_CBA!$B$3:$N$23,13,0)&lt;=$D62,SUM(Y$5:Y$14)*VLOOKUP(Y$2,MODULY_CBA!$B$3:$M$23,12,0),0),0)</f>
        <v>0</v>
      </c>
      <c r="Z62" s="574">
        <f>IFERROR(IF(VLOOKUP(Z$2,MODULY_CBA!$B$3:$N$23,13,0)&lt;=$D62,SUM(Z$5:Z$14)*VLOOKUP(Z$2,MODULY_CBA!$B$3:$M$23,12,0),0),0)</f>
        <v>0</v>
      </c>
    </row>
    <row r="63" spans="1:26" outlineLevel="1">
      <c r="A63" s="817"/>
      <c r="B63" s="818"/>
      <c r="C63" s="818"/>
      <c r="D63" s="494">
        <v>8</v>
      </c>
      <c r="E63" s="68">
        <f t="shared" si="7"/>
        <v>0</v>
      </c>
      <c r="F63" s="574">
        <f>IFERROR(IF(VLOOKUP(F$2,MODULY_CBA!$B$3:$N$23,13,0)&lt;=$D63,SUM(F$5:F$14)*VLOOKUP(F$2,MODULY_CBA!$B$3:$M$23,12,0),0),0)</f>
        <v>0</v>
      </c>
      <c r="G63" s="574">
        <f>IFERROR(IF(VLOOKUP(G$2,MODULY_CBA!$B$3:$N$23,13,0)&lt;=$D63,SUM(G$5:G$14)*VLOOKUP(G$2,MODULY_CBA!$B$3:$M$23,12,0),0),0)</f>
        <v>0</v>
      </c>
      <c r="H63" s="574">
        <f>IFERROR(IF(VLOOKUP(H$2,MODULY_CBA!$B$3:$N$23,13,0)&lt;=$D63,SUM(H$5:H$14)*VLOOKUP(H$2,MODULY_CBA!$B$3:$M$23,12,0),0),0)</f>
        <v>0</v>
      </c>
      <c r="I63" s="574">
        <f>IFERROR(IF(VLOOKUP(I$2,MODULY_CBA!$B$3:$N$23,13,0)&lt;=$D63,SUM(I$5:I$14)*VLOOKUP(I$2,MODULY_CBA!$B$3:$M$23,12,0),0),0)</f>
        <v>0</v>
      </c>
      <c r="J63" s="574">
        <f>IFERROR(IF(VLOOKUP(J$2,MODULY_CBA!$B$3:$N$23,13,0)&lt;=$D63,SUM(J$5:J$14)*VLOOKUP(J$2,MODULY_CBA!$B$3:$M$23,12,0),0),0)</f>
        <v>0</v>
      </c>
      <c r="K63" s="574">
        <f>IFERROR(IF(VLOOKUP(K$2,MODULY_CBA!$B$3:$N$23,13,0)&lt;=$D63,SUM(K$5:K$14)*VLOOKUP(K$2,MODULY_CBA!$B$3:$M$23,12,0),0),0)</f>
        <v>0</v>
      </c>
      <c r="L63" s="574">
        <f>IFERROR(IF(VLOOKUP(L$2,MODULY_CBA!$B$3:$N$23,13,0)&lt;=$D63,SUM(L$5:L$14)*VLOOKUP(L$2,MODULY_CBA!$B$3:$M$23,12,0),0),0)</f>
        <v>0</v>
      </c>
      <c r="M63" s="574">
        <f>IFERROR(IF(VLOOKUP(M$2,MODULY_CBA!$B$3:$N$23,13,0)&lt;=$D63,SUM(M$5:M$14)*VLOOKUP(M$2,MODULY_CBA!$B$3:$M$23,12,0),0),0)</f>
        <v>0</v>
      </c>
      <c r="N63" s="574">
        <f>IFERROR(IF(VLOOKUP(N$2,MODULY_CBA!$B$3:$N$23,13,0)&lt;=$D63,SUM(N$5:N$14)*VLOOKUP(N$2,MODULY_CBA!$B$3:$M$23,12,0),0),0)</f>
        <v>0</v>
      </c>
      <c r="O63" s="574">
        <f>IFERROR(IF(VLOOKUP(O$2,MODULY_CBA!$B$3:$N$23,13,0)&lt;=$D63,SUM(O$5:O$14)*VLOOKUP(O$2,MODULY_CBA!$B$3:$M$23,12,0),0),0)</f>
        <v>0</v>
      </c>
      <c r="P63" s="574">
        <f>IFERROR(IF(VLOOKUP(P$2,MODULY_CBA!$B$3:$N$23,13,0)&lt;=$D63,SUM(P$5:P$14)*VLOOKUP(P$2,MODULY_CBA!$B$3:$M$23,12,0),0),0)</f>
        <v>0</v>
      </c>
      <c r="Q63" s="574">
        <f>IFERROR(IF(VLOOKUP(Q$2,MODULY_CBA!$B$3:$N$23,13,0)&lt;=$D63,SUM(Q$5:Q$14)*VLOOKUP(Q$2,MODULY_CBA!$B$3:$M$23,12,0),0),0)</f>
        <v>0</v>
      </c>
      <c r="R63" s="574">
        <f>IFERROR(IF(VLOOKUP(R$2,MODULY_CBA!$B$3:$N$23,13,0)&lt;=$D63,SUM(R$5:R$14)*VLOOKUP(R$2,MODULY_CBA!$B$3:$M$23,12,0),0),0)</f>
        <v>0</v>
      </c>
      <c r="S63" s="574">
        <f>IFERROR(IF(VLOOKUP(S$2,MODULY_CBA!$B$3:$N$23,13,0)&lt;=$D63,SUM(S$5:S$14)*VLOOKUP(S$2,MODULY_CBA!$B$3:$M$23,12,0),0),0)</f>
        <v>0</v>
      </c>
      <c r="T63" s="574">
        <f>IFERROR(IF(VLOOKUP(T$2,MODULY_CBA!$B$3:$N$23,13,0)&lt;=$D63,SUM(T$5:T$14)*VLOOKUP(T$2,MODULY_CBA!$B$3:$M$23,12,0),0),0)</f>
        <v>0</v>
      </c>
      <c r="U63" s="574">
        <f>IFERROR(IF(VLOOKUP(U$2,MODULY_CBA!$B$3:$N$23,13,0)&lt;=$D63,SUM(U$5:U$14)*VLOOKUP(U$2,MODULY_CBA!$B$3:$M$23,12,0),0),0)</f>
        <v>0</v>
      </c>
      <c r="V63" s="574">
        <f>IFERROR(IF(VLOOKUP(V$2,MODULY_CBA!$B$3:$N$23,13,0)&lt;=$D63,SUM(V$5:V$14)*VLOOKUP(V$2,MODULY_CBA!$B$3:$M$23,12,0),0),0)</f>
        <v>0</v>
      </c>
      <c r="W63" s="574">
        <f>IFERROR(IF(VLOOKUP(W$2,MODULY_CBA!$B$3:$N$23,13,0)&lt;=$D63,SUM(W$5:W$14)*VLOOKUP(W$2,MODULY_CBA!$B$3:$M$23,12,0),0),0)</f>
        <v>0</v>
      </c>
      <c r="X63" s="574">
        <f>IFERROR(IF(VLOOKUP(X$2,MODULY_CBA!$B$3:$N$23,13,0)&lt;=$D63,SUM(X$5:X$14)*VLOOKUP(X$2,MODULY_CBA!$B$3:$M$23,12,0),0),0)</f>
        <v>0</v>
      </c>
      <c r="Y63" s="574">
        <f>IFERROR(IF(VLOOKUP(Y$2,MODULY_CBA!$B$3:$N$23,13,0)&lt;=$D63,SUM(Y$5:Y$14)*VLOOKUP(Y$2,MODULY_CBA!$B$3:$M$23,12,0),0),0)</f>
        <v>0</v>
      </c>
      <c r="Z63" s="574">
        <f>IFERROR(IF(VLOOKUP(Z$2,MODULY_CBA!$B$3:$N$23,13,0)&lt;=$D63,SUM(Z$5:Z$14)*VLOOKUP(Z$2,MODULY_CBA!$B$3:$M$23,12,0),0),0)</f>
        <v>0</v>
      </c>
    </row>
    <row r="64" spans="1:26" outlineLevel="1">
      <c r="A64" s="817"/>
      <c r="B64" s="818"/>
      <c r="C64" s="818"/>
      <c r="D64" s="494">
        <v>9</v>
      </c>
      <c r="E64" s="68">
        <f t="shared" si="7"/>
        <v>0</v>
      </c>
      <c r="F64" s="574">
        <f>IFERROR(IF(VLOOKUP(F$2,MODULY_CBA!$B$3:$N$23,13,0)&lt;=$D64,SUM(F$5:F$14)*VLOOKUP(F$2,MODULY_CBA!$B$3:$M$23,12,0),0),0)</f>
        <v>0</v>
      </c>
      <c r="G64" s="574">
        <f>IFERROR(IF(VLOOKUP(G$2,MODULY_CBA!$B$3:$N$23,13,0)&lt;=$D64,SUM(G$5:G$14)*VLOOKUP(G$2,MODULY_CBA!$B$3:$M$23,12,0),0),0)</f>
        <v>0</v>
      </c>
      <c r="H64" s="574">
        <f>IFERROR(IF(VLOOKUP(H$2,MODULY_CBA!$B$3:$N$23,13,0)&lt;=$D64,SUM(H$5:H$14)*VLOOKUP(H$2,MODULY_CBA!$B$3:$M$23,12,0),0),0)</f>
        <v>0</v>
      </c>
      <c r="I64" s="574">
        <f>IFERROR(IF(VLOOKUP(I$2,MODULY_CBA!$B$3:$N$23,13,0)&lt;=$D64,SUM(I$5:I$14)*VLOOKUP(I$2,MODULY_CBA!$B$3:$M$23,12,0),0),0)</f>
        <v>0</v>
      </c>
      <c r="J64" s="574">
        <f>IFERROR(IF(VLOOKUP(J$2,MODULY_CBA!$B$3:$N$23,13,0)&lt;=$D64,SUM(J$5:J$14)*VLOOKUP(J$2,MODULY_CBA!$B$3:$M$23,12,0),0),0)</f>
        <v>0</v>
      </c>
      <c r="K64" s="574">
        <f>IFERROR(IF(VLOOKUP(K$2,MODULY_CBA!$B$3:$N$23,13,0)&lt;=$D64,SUM(K$5:K$14)*VLOOKUP(K$2,MODULY_CBA!$B$3:$M$23,12,0),0),0)</f>
        <v>0</v>
      </c>
      <c r="L64" s="574">
        <f>IFERROR(IF(VLOOKUP(L$2,MODULY_CBA!$B$3:$N$23,13,0)&lt;=$D64,SUM(L$5:L$14)*VLOOKUP(L$2,MODULY_CBA!$B$3:$M$23,12,0),0),0)</f>
        <v>0</v>
      </c>
      <c r="M64" s="574">
        <f>IFERROR(IF(VLOOKUP(M$2,MODULY_CBA!$B$3:$N$23,13,0)&lt;=$D64,SUM(M$5:M$14)*VLOOKUP(M$2,MODULY_CBA!$B$3:$M$23,12,0),0),0)</f>
        <v>0</v>
      </c>
      <c r="N64" s="574">
        <f>IFERROR(IF(VLOOKUP(N$2,MODULY_CBA!$B$3:$N$23,13,0)&lt;=$D64,SUM(N$5:N$14)*VLOOKUP(N$2,MODULY_CBA!$B$3:$M$23,12,0),0),0)</f>
        <v>0</v>
      </c>
      <c r="O64" s="574">
        <f>IFERROR(IF(VLOOKUP(O$2,MODULY_CBA!$B$3:$N$23,13,0)&lt;=$D64,SUM(O$5:O$14)*VLOOKUP(O$2,MODULY_CBA!$B$3:$M$23,12,0),0),0)</f>
        <v>0</v>
      </c>
      <c r="P64" s="574">
        <f>IFERROR(IF(VLOOKUP(P$2,MODULY_CBA!$B$3:$N$23,13,0)&lt;=$D64,SUM(P$5:P$14)*VLOOKUP(P$2,MODULY_CBA!$B$3:$M$23,12,0),0),0)</f>
        <v>0</v>
      </c>
      <c r="Q64" s="574">
        <f>IFERROR(IF(VLOOKUP(Q$2,MODULY_CBA!$B$3:$N$23,13,0)&lt;=$D64,SUM(Q$5:Q$14)*VLOOKUP(Q$2,MODULY_CBA!$B$3:$M$23,12,0),0),0)</f>
        <v>0</v>
      </c>
      <c r="R64" s="574">
        <f>IFERROR(IF(VLOOKUP(R$2,MODULY_CBA!$B$3:$N$23,13,0)&lt;=$D64,SUM(R$5:R$14)*VLOOKUP(R$2,MODULY_CBA!$B$3:$M$23,12,0),0),0)</f>
        <v>0</v>
      </c>
      <c r="S64" s="574">
        <f>IFERROR(IF(VLOOKUP(S$2,MODULY_CBA!$B$3:$N$23,13,0)&lt;=$D64,SUM(S$5:S$14)*VLOOKUP(S$2,MODULY_CBA!$B$3:$M$23,12,0),0),0)</f>
        <v>0</v>
      </c>
      <c r="T64" s="574">
        <f>IFERROR(IF(VLOOKUP(T$2,MODULY_CBA!$B$3:$N$23,13,0)&lt;=$D64,SUM(T$5:T$14)*VLOOKUP(T$2,MODULY_CBA!$B$3:$M$23,12,0),0),0)</f>
        <v>0</v>
      </c>
      <c r="U64" s="574">
        <f>IFERROR(IF(VLOOKUP(U$2,MODULY_CBA!$B$3:$N$23,13,0)&lt;=$D64,SUM(U$5:U$14)*VLOOKUP(U$2,MODULY_CBA!$B$3:$M$23,12,0),0),0)</f>
        <v>0</v>
      </c>
      <c r="V64" s="574">
        <f>IFERROR(IF(VLOOKUP(V$2,MODULY_CBA!$B$3:$N$23,13,0)&lt;=$D64,SUM(V$5:V$14)*VLOOKUP(V$2,MODULY_CBA!$B$3:$M$23,12,0),0),0)</f>
        <v>0</v>
      </c>
      <c r="W64" s="574">
        <f>IFERROR(IF(VLOOKUP(W$2,MODULY_CBA!$B$3:$N$23,13,0)&lt;=$D64,SUM(W$5:W$14)*VLOOKUP(W$2,MODULY_CBA!$B$3:$M$23,12,0),0),0)</f>
        <v>0</v>
      </c>
      <c r="X64" s="574">
        <f>IFERROR(IF(VLOOKUP(X$2,MODULY_CBA!$B$3:$N$23,13,0)&lt;=$D64,SUM(X$5:X$14)*VLOOKUP(X$2,MODULY_CBA!$B$3:$M$23,12,0),0),0)</f>
        <v>0</v>
      </c>
      <c r="Y64" s="574">
        <f>IFERROR(IF(VLOOKUP(Y$2,MODULY_CBA!$B$3:$N$23,13,0)&lt;=$D64,SUM(Y$5:Y$14)*VLOOKUP(Y$2,MODULY_CBA!$B$3:$M$23,12,0),0),0)</f>
        <v>0</v>
      </c>
      <c r="Z64" s="574">
        <f>IFERROR(IF(VLOOKUP(Z$2,MODULY_CBA!$B$3:$N$23,13,0)&lt;=$D64,SUM(Z$5:Z$14)*VLOOKUP(Z$2,MODULY_CBA!$B$3:$M$23,12,0),0),0)</f>
        <v>0</v>
      </c>
    </row>
    <row r="65" spans="1:28" ht="15.75" outlineLevel="1" thickBot="1">
      <c r="A65" s="817"/>
      <c r="B65" s="818"/>
      <c r="C65" s="818"/>
      <c r="D65" s="495">
        <v>10</v>
      </c>
      <c r="E65" s="69">
        <f t="shared" si="7"/>
        <v>0</v>
      </c>
      <c r="F65" s="574">
        <f>IFERROR(IF(VLOOKUP(F$2,MODULY_CBA!$B$3:$N$23,13,0)&lt;=$D65,SUM(F$5:F$14)*VLOOKUP(F$2,MODULY_CBA!$B$3:$M$23,12,0),0),0)</f>
        <v>0</v>
      </c>
      <c r="G65" s="574">
        <f>IFERROR(IF(VLOOKUP(G$2,MODULY_CBA!$B$3:$N$23,13,0)&lt;=$D65,SUM(G$5:G$14)*VLOOKUP(G$2,MODULY_CBA!$B$3:$M$23,12,0),0),0)</f>
        <v>0</v>
      </c>
      <c r="H65" s="574">
        <f>IFERROR(IF(VLOOKUP(H$2,MODULY_CBA!$B$3:$N$23,13,0)&lt;=$D65,SUM(H$5:H$14)*VLOOKUP(H$2,MODULY_CBA!$B$3:$M$23,12,0),0),0)</f>
        <v>0</v>
      </c>
      <c r="I65" s="574">
        <f>IFERROR(IF(VLOOKUP(I$2,MODULY_CBA!$B$3:$N$23,13,0)&lt;=$D65,SUM(I$5:I$14)*VLOOKUP(I$2,MODULY_CBA!$B$3:$M$23,12,0),0),0)</f>
        <v>0</v>
      </c>
      <c r="J65" s="574">
        <f>IFERROR(IF(VLOOKUP(J$2,MODULY_CBA!$B$3:$N$23,13,0)&lt;=$D65,SUM(J$5:J$14)*VLOOKUP(J$2,MODULY_CBA!$B$3:$M$23,12,0),0),0)</f>
        <v>0</v>
      </c>
      <c r="K65" s="574">
        <f>IFERROR(IF(VLOOKUP(K$2,MODULY_CBA!$B$3:$N$23,13,0)&lt;=$D65,SUM(K$5:K$14)*VLOOKUP(K$2,MODULY_CBA!$B$3:$M$23,12,0),0),0)</f>
        <v>0</v>
      </c>
      <c r="L65" s="574">
        <f>IFERROR(IF(VLOOKUP(L$2,MODULY_CBA!$B$3:$N$23,13,0)&lt;=$D65,SUM(L$5:L$14)*VLOOKUP(L$2,MODULY_CBA!$B$3:$M$23,12,0),0),0)</f>
        <v>0</v>
      </c>
      <c r="M65" s="574">
        <f>IFERROR(IF(VLOOKUP(M$2,MODULY_CBA!$B$3:$N$23,13,0)&lt;=$D65,SUM(M$5:M$14)*VLOOKUP(M$2,MODULY_CBA!$B$3:$M$23,12,0),0),0)</f>
        <v>0</v>
      </c>
      <c r="N65" s="574">
        <f>IFERROR(IF(VLOOKUP(N$2,MODULY_CBA!$B$3:$N$23,13,0)&lt;=$D65,SUM(N$5:N$14)*VLOOKUP(N$2,MODULY_CBA!$B$3:$M$23,12,0),0),0)</f>
        <v>0</v>
      </c>
      <c r="O65" s="574">
        <f>IFERROR(IF(VLOOKUP(O$2,MODULY_CBA!$B$3:$N$23,13,0)&lt;=$D65,SUM(O$5:O$14)*VLOOKUP(O$2,MODULY_CBA!$B$3:$M$23,12,0),0),0)</f>
        <v>0</v>
      </c>
      <c r="P65" s="574">
        <f>IFERROR(IF(VLOOKUP(P$2,MODULY_CBA!$B$3:$N$23,13,0)&lt;=$D65,SUM(P$5:P$14)*VLOOKUP(P$2,MODULY_CBA!$B$3:$M$23,12,0),0),0)</f>
        <v>0</v>
      </c>
      <c r="Q65" s="574">
        <f>IFERROR(IF(VLOOKUP(Q$2,MODULY_CBA!$B$3:$N$23,13,0)&lt;=$D65,SUM(Q$5:Q$14)*VLOOKUP(Q$2,MODULY_CBA!$B$3:$M$23,12,0),0),0)</f>
        <v>0</v>
      </c>
      <c r="R65" s="574">
        <f>IFERROR(IF(VLOOKUP(R$2,MODULY_CBA!$B$3:$N$23,13,0)&lt;=$D65,SUM(R$5:R$14)*VLOOKUP(R$2,MODULY_CBA!$B$3:$M$23,12,0),0),0)</f>
        <v>0</v>
      </c>
      <c r="S65" s="574">
        <f>IFERROR(IF(VLOOKUP(S$2,MODULY_CBA!$B$3:$N$23,13,0)&lt;=$D65,SUM(S$5:S$14)*VLOOKUP(S$2,MODULY_CBA!$B$3:$M$23,12,0),0),0)</f>
        <v>0</v>
      </c>
      <c r="T65" s="574">
        <f>IFERROR(IF(VLOOKUP(T$2,MODULY_CBA!$B$3:$N$23,13,0)&lt;=$D65,SUM(T$5:T$14)*VLOOKUP(T$2,MODULY_CBA!$B$3:$M$23,12,0),0),0)</f>
        <v>0</v>
      </c>
      <c r="U65" s="574">
        <f>IFERROR(IF(VLOOKUP(U$2,MODULY_CBA!$B$3:$N$23,13,0)&lt;=$D65,SUM(U$5:U$14)*VLOOKUP(U$2,MODULY_CBA!$B$3:$M$23,12,0),0),0)</f>
        <v>0</v>
      </c>
      <c r="V65" s="574">
        <f>IFERROR(IF(VLOOKUP(V$2,MODULY_CBA!$B$3:$N$23,13,0)&lt;=$D65,SUM(V$5:V$14)*VLOOKUP(V$2,MODULY_CBA!$B$3:$M$23,12,0),0),0)</f>
        <v>0</v>
      </c>
      <c r="W65" s="574">
        <f>IFERROR(IF(VLOOKUP(W$2,MODULY_CBA!$B$3:$N$23,13,0)&lt;=$D65,SUM(W$5:W$14)*VLOOKUP(W$2,MODULY_CBA!$B$3:$M$23,12,0),0),0)</f>
        <v>0</v>
      </c>
      <c r="X65" s="574">
        <f>IFERROR(IF(VLOOKUP(X$2,MODULY_CBA!$B$3:$N$23,13,0)&lt;=$D65,SUM(X$5:X$14)*VLOOKUP(X$2,MODULY_CBA!$B$3:$M$23,12,0),0),0)</f>
        <v>0</v>
      </c>
      <c r="Y65" s="574">
        <f>IFERROR(IF(VLOOKUP(Y$2,MODULY_CBA!$B$3:$N$23,13,0)&lt;=$D65,SUM(Y$5:Y$14)*VLOOKUP(Y$2,MODULY_CBA!$B$3:$M$23,12,0),0),0)</f>
        <v>0</v>
      </c>
      <c r="Z65" s="574">
        <f>IFERROR(IF(VLOOKUP(Z$2,MODULY_CBA!$B$3:$N$23,13,0)&lt;=$D65,SUM(Z$5:Z$14)*VLOOKUP(Z$2,MODULY_CBA!$B$3:$M$23,12,0),0),0)</f>
        <v>0</v>
      </c>
    </row>
    <row r="66" spans="1:28" outlineLevel="1">
      <c r="A66" s="817" t="s">
        <v>1510</v>
      </c>
      <c r="B66" s="817" t="s">
        <v>1511</v>
      </c>
      <c r="C66" s="818">
        <v>718002</v>
      </c>
      <c r="D66" s="493">
        <v>1</v>
      </c>
      <c r="E66" s="68">
        <f t="shared" si="7"/>
        <v>0</v>
      </c>
      <c r="F66" s="576">
        <v>0</v>
      </c>
      <c r="G66" s="576">
        <v>0</v>
      </c>
      <c r="H66" s="576">
        <v>0</v>
      </c>
      <c r="I66" s="576">
        <v>0</v>
      </c>
      <c r="J66" s="576">
        <v>0</v>
      </c>
      <c r="K66" s="576">
        <v>0</v>
      </c>
      <c r="L66" s="576">
        <v>0</v>
      </c>
      <c r="M66" s="576">
        <v>0</v>
      </c>
      <c r="N66" s="576">
        <v>0</v>
      </c>
      <c r="O66" s="576">
        <v>0</v>
      </c>
      <c r="P66" s="576">
        <v>0</v>
      </c>
      <c r="Q66" s="576">
        <v>0</v>
      </c>
      <c r="R66" s="576">
        <v>0</v>
      </c>
      <c r="S66" s="576">
        <v>0</v>
      </c>
      <c r="T66" s="576">
        <v>0</v>
      </c>
      <c r="U66" s="576">
        <v>0</v>
      </c>
      <c r="V66" s="576">
        <v>0</v>
      </c>
      <c r="W66" s="576">
        <v>0</v>
      </c>
      <c r="X66" s="576">
        <v>0</v>
      </c>
      <c r="Y66" s="576">
        <v>0</v>
      </c>
      <c r="Z66" s="576">
        <v>0</v>
      </c>
    </row>
    <row r="67" spans="1:28" outlineLevel="1">
      <c r="A67" s="817"/>
      <c r="B67" s="818"/>
      <c r="C67" s="818"/>
      <c r="D67" s="494">
        <v>2</v>
      </c>
      <c r="E67" s="68">
        <f t="shared" si="7"/>
        <v>0</v>
      </c>
      <c r="F67" s="577">
        <v>0</v>
      </c>
      <c r="G67" s="577">
        <v>0</v>
      </c>
      <c r="H67" s="577">
        <v>0</v>
      </c>
      <c r="I67" s="577">
        <v>0</v>
      </c>
      <c r="J67" s="577">
        <v>0</v>
      </c>
      <c r="K67" s="577">
        <v>0</v>
      </c>
      <c r="L67" s="577">
        <v>0</v>
      </c>
      <c r="M67" s="577">
        <v>0</v>
      </c>
      <c r="N67" s="577">
        <v>0</v>
      </c>
      <c r="O67" s="577">
        <v>0</v>
      </c>
      <c r="P67" s="577">
        <v>0</v>
      </c>
      <c r="Q67" s="577">
        <v>0</v>
      </c>
      <c r="R67" s="577">
        <v>0</v>
      </c>
      <c r="S67" s="577">
        <v>0</v>
      </c>
      <c r="T67" s="577">
        <v>0</v>
      </c>
      <c r="U67" s="577">
        <v>0</v>
      </c>
      <c r="V67" s="577">
        <v>0</v>
      </c>
      <c r="W67" s="577">
        <v>0</v>
      </c>
      <c r="X67" s="577">
        <v>0</v>
      </c>
      <c r="Y67" s="577">
        <v>0</v>
      </c>
      <c r="Z67" s="577">
        <v>0</v>
      </c>
    </row>
    <row r="68" spans="1:28" outlineLevel="1">
      <c r="A68" s="817"/>
      <c r="B68" s="818"/>
      <c r="C68" s="818"/>
      <c r="D68" s="494">
        <v>3</v>
      </c>
      <c r="E68" s="68">
        <f t="shared" si="7"/>
        <v>0</v>
      </c>
      <c r="F68" s="577">
        <v>0</v>
      </c>
      <c r="G68" s="577">
        <v>0</v>
      </c>
      <c r="H68" s="577">
        <v>0</v>
      </c>
      <c r="I68" s="577">
        <v>0</v>
      </c>
      <c r="J68" s="577">
        <v>0</v>
      </c>
      <c r="K68" s="577">
        <v>0</v>
      </c>
      <c r="L68" s="577">
        <v>0</v>
      </c>
      <c r="M68" s="577">
        <v>0</v>
      </c>
      <c r="N68" s="577">
        <v>0</v>
      </c>
      <c r="O68" s="577">
        <v>0</v>
      </c>
      <c r="P68" s="577">
        <v>0</v>
      </c>
      <c r="Q68" s="577">
        <v>0</v>
      </c>
      <c r="R68" s="577">
        <v>0</v>
      </c>
      <c r="S68" s="577">
        <v>0</v>
      </c>
      <c r="T68" s="577">
        <v>0</v>
      </c>
      <c r="U68" s="577">
        <v>0</v>
      </c>
      <c r="V68" s="577">
        <v>0</v>
      </c>
      <c r="W68" s="577">
        <v>0</v>
      </c>
      <c r="X68" s="577">
        <v>0</v>
      </c>
      <c r="Y68" s="577">
        <v>0</v>
      </c>
      <c r="Z68" s="577">
        <v>0</v>
      </c>
    </row>
    <row r="69" spans="1:28" outlineLevel="1">
      <c r="A69" s="817"/>
      <c r="B69" s="818"/>
      <c r="C69" s="818"/>
      <c r="D69" s="494">
        <v>4</v>
      </c>
      <c r="E69" s="68">
        <f t="shared" si="7"/>
        <v>0</v>
      </c>
      <c r="F69" s="577">
        <v>0</v>
      </c>
      <c r="G69" s="577">
        <v>0</v>
      </c>
      <c r="H69" s="577">
        <v>0</v>
      </c>
      <c r="I69" s="577">
        <v>0</v>
      </c>
      <c r="J69" s="577">
        <v>0</v>
      </c>
      <c r="K69" s="577">
        <v>0</v>
      </c>
      <c r="L69" s="577">
        <v>0</v>
      </c>
      <c r="M69" s="577">
        <v>0</v>
      </c>
      <c r="N69" s="577">
        <v>0</v>
      </c>
      <c r="O69" s="577">
        <v>0</v>
      </c>
      <c r="P69" s="577">
        <v>0</v>
      </c>
      <c r="Q69" s="577">
        <v>0</v>
      </c>
      <c r="R69" s="577">
        <v>0</v>
      </c>
      <c r="S69" s="577">
        <v>0</v>
      </c>
      <c r="T69" s="577">
        <v>0</v>
      </c>
      <c r="U69" s="577">
        <v>0</v>
      </c>
      <c r="V69" s="577">
        <v>0</v>
      </c>
      <c r="W69" s="577">
        <v>0</v>
      </c>
      <c r="X69" s="577">
        <v>0</v>
      </c>
      <c r="Y69" s="577">
        <v>0</v>
      </c>
      <c r="Z69" s="577">
        <v>0</v>
      </c>
    </row>
    <row r="70" spans="1:28" outlineLevel="1">
      <c r="A70" s="817"/>
      <c r="B70" s="818"/>
      <c r="C70" s="818"/>
      <c r="D70" s="494">
        <v>5</v>
      </c>
      <c r="E70" s="68">
        <f t="shared" si="7"/>
        <v>0</v>
      </c>
      <c r="F70" s="577">
        <v>0</v>
      </c>
      <c r="G70" s="577">
        <v>0</v>
      </c>
      <c r="H70" s="577">
        <v>0</v>
      </c>
      <c r="I70" s="577">
        <v>0</v>
      </c>
      <c r="J70" s="577">
        <v>0</v>
      </c>
      <c r="K70" s="577">
        <v>0</v>
      </c>
      <c r="L70" s="577">
        <v>0</v>
      </c>
      <c r="M70" s="577">
        <v>0</v>
      </c>
      <c r="N70" s="577">
        <v>0</v>
      </c>
      <c r="O70" s="577">
        <v>0</v>
      </c>
      <c r="P70" s="577">
        <v>0</v>
      </c>
      <c r="Q70" s="577">
        <v>0</v>
      </c>
      <c r="R70" s="577">
        <v>0</v>
      </c>
      <c r="S70" s="577">
        <v>0</v>
      </c>
      <c r="T70" s="577">
        <v>0</v>
      </c>
      <c r="U70" s="577">
        <v>0</v>
      </c>
      <c r="V70" s="577">
        <v>0</v>
      </c>
      <c r="W70" s="577">
        <v>0</v>
      </c>
      <c r="X70" s="577">
        <v>0</v>
      </c>
      <c r="Y70" s="577">
        <v>0</v>
      </c>
      <c r="Z70" s="577">
        <v>0</v>
      </c>
    </row>
    <row r="71" spans="1:28" outlineLevel="1">
      <c r="A71" s="817"/>
      <c r="B71" s="818"/>
      <c r="C71" s="818"/>
      <c r="D71" s="494">
        <v>6</v>
      </c>
      <c r="E71" s="68">
        <f t="shared" si="7"/>
        <v>0</v>
      </c>
      <c r="F71" s="577">
        <v>0</v>
      </c>
      <c r="G71" s="577">
        <v>0</v>
      </c>
      <c r="H71" s="577">
        <v>0</v>
      </c>
      <c r="I71" s="577">
        <v>0</v>
      </c>
      <c r="J71" s="577">
        <v>0</v>
      </c>
      <c r="K71" s="577">
        <v>0</v>
      </c>
      <c r="L71" s="577">
        <v>0</v>
      </c>
      <c r="M71" s="577">
        <v>0</v>
      </c>
      <c r="N71" s="577">
        <v>0</v>
      </c>
      <c r="O71" s="577">
        <v>0</v>
      </c>
      <c r="P71" s="577">
        <v>0</v>
      </c>
      <c r="Q71" s="577">
        <v>0</v>
      </c>
      <c r="R71" s="577">
        <v>0</v>
      </c>
      <c r="S71" s="577">
        <v>0</v>
      </c>
      <c r="T71" s="577">
        <v>0</v>
      </c>
      <c r="U71" s="577">
        <v>0</v>
      </c>
      <c r="V71" s="577">
        <v>0</v>
      </c>
      <c r="W71" s="577">
        <v>0</v>
      </c>
      <c r="X71" s="577">
        <v>0</v>
      </c>
      <c r="Y71" s="577">
        <v>0</v>
      </c>
      <c r="Z71" s="577">
        <v>0</v>
      </c>
    </row>
    <row r="72" spans="1:28" outlineLevel="1">
      <c r="A72" s="817"/>
      <c r="B72" s="818"/>
      <c r="C72" s="818"/>
      <c r="D72" s="494">
        <v>7</v>
      </c>
      <c r="E72" s="68">
        <f t="shared" si="7"/>
        <v>0</v>
      </c>
      <c r="F72" s="577">
        <v>0</v>
      </c>
      <c r="G72" s="577">
        <v>0</v>
      </c>
      <c r="H72" s="577">
        <v>0</v>
      </c>
      <c r="I72" s="577">
        <v>0</v>
      </c>
      <c r="J72" s="577">
        <v>0</v>
      </c>
      <c r="K72" s="577">
        <v>0</v>
      </c>
      <c r="L72" s="577">
        <v>0</v>
      </c>
      <c r="M72" s="577">
        <v>0</v>
      </c>
      <c r="N72" s="577">
        <v>0</v>
      </c>
      <c r="O72" s="577">
        <v>0</v>
      </c>
      <c r="P72" s="577">
        <v>0</v>
      </c>
      <c r="Q72" s="577">
        <v>0</v>
      </c>
      <c r="R72" s="577">
        <v>0</v>
      </c>
      <c r="S72" s="577">
        <v>0</v>
      </c>
      <c r="T72" s="577">
        <v>0</v>
      </c>
      <c r="U72" s="577">
        <v>0</v>
      </c>
      <c r="V72" s="577">
        <v>0</v>
      </c>
      <c r="W72" s="577">
        <v>0</v>
      </c>
      <c r="X72" s="577">
        <v>0</v>
      </c>
      <c r="Y72" s="577">
        <v>0</v>
      </c>
      <c r="Z72" s="577">
        <v>0</v>
      </c>
    </row>
    <row r="73" spans="1:28" outlineLevel="1">
      <c r="A73" s="817"/>
      <c r="B73" s="818"/>
      <c r="C73" s="818"/>
      <c r="D73" s="494">
        <v>8</v>
      </c>
      <c r="E73" s="68">
        <f t="shared" si="7"/>
        <v>0</v>
      </c>
      <c r="F73" s="577">
        <v>0</v>
      </c>
      <c r="G73" s="577">
        <v>0</v>
      </c>
      <c r="H73" s="577">
        <v>0</v>
      </c>
      <c r="I73" s="577">
        <v>0</v>
      </c>
      <c r="J73" s="577">
        <v>0</v>
      </c>
      <c r="K73" s="577">
        <v>0</v>
      </c>
      <c r="L73" s="577">
        <v>0</v>
      </c>
      <c r="M73" s="577">
        <v>0</v>
      </c>
      <c r="N73" s="577">
        <v>0</v>
      </c>
      <c r="O73" s="577">
        <v>0</v>
      </c>
      <c r="P73" s="577">
        <v>0</v>
      </c>
      <c r="Q73" s="577">
        <v>0</v>
      </c>
      <c r="R73" s="577">
        <v>0</v>
      </c>
      <c r="S73" s="577">
        <v>0</v>
      </c>
      <c r="T73" s="577">
        <v>0</v>
      </c>
      <c r="U73" s="577">
        <v>0</v>
      </c>
      <c r="V73" s="577">
        <v>0</v>
      </c>
      <c r="W73" s="577">
        <v>0</v>
      </c>
      <c r="X73" s="577">
        <v>0</v>
      </c>
      <c r="Y73" s="577">
        <v>0</v>
      </c>
      <c r="Z73" s="577">
        <v>0</v>
      </c>
    </row>
    <row r="74" spans="1:28" outlineLevel="1">
      <c r="A74" s="817"/>
      <c r="B74" s="818"/>
      <c r="C74" s="818"/>
      <c r="D74" s="494">
        <v>9</v>
      </c>
      <c r="E74" s="68">
        <f t="shared" si="7"/>
        <v>0</v>
      </c>
      <c r="F74" s="577">
        <v>0</v>
      </c>
      <c r="G74" s="577">
        <v>0</v>
      </c>
      <c r="H74" s="577">
        <v>0</v>
      </c>
      <c r="I74" s="577">
        <v>0</v>
      </c>
      <c r="J74" s="577">
        <v>0</v>
      </c>
      <c r="K74" s="577">
        <v>0</v>
      </c>
      <c r="L74" s="577">
        <v>0</v>
      </c>
      <c r="M74" s="577">
        <v>0</v>
      </c>
      <c r="N74" s="577">
        <v>0</v>
      </c>
      <c r="O74" s="577">
        <v>0</v>
      </c>
      <c r="P74" s="577">
        <v>0</v>
      </c>
      <c r="Q74" s="577">
        <v>0</v>
      </c>
      <c r="R74" s="577">
        <v>0</v>
      </c>
      <c r="S74" s="577">
        <v>0</v>
      </c>
      <c r="T74" s="577">
        <v>0</v>
      </c>
      <c r="U74" s="577">
        <v>0</v>
      </c>
      <c r="V74" s="577">
        <v>0</v>
      </c>
      <c r="W74" s="577">
        <v>0</v>
      </c>
      <c r="X74" s="577">
        <v>0</v>
      </c>
      <c r="Y74" s="577">
        <v>0</v>
      </c>
      <c r="Z74" s="577">
        <v>0</v>
      </c>
    </row>
    <row r="75" spans="1:28" ht="15.75" outlineLevel="1" thickBot="1">
      <c r="A75" s="817"/>
      <c r="B75" s="818"/>
      <c r="C75" s="818"/>
      <c r="D75" s="495">
        <v>10</v>
      </c>
      <c r="E75" s="69">
        <f t="shared" si="7"/>
        <v>0</v>
      </c>
      <c r="F75" s="581">
        <v>0</v>
      </c>
      <c r="G75" s="581">
        <v>0</v>
      </c>
      <c r="H75" s="581">
        <v>0</v>
      </c>
      <c r="I75" s="581">
        <v>0</v>
      </c>
      <c r="J75" s="581">
        <v>0</v>
      </c>
      <c r="K75" s="581">
        <v>0</v>
      </c>
      <c r="L75" s="581">
        <v>0</v>
      </c>
      <c r="M75" s="581">
        <v>0</v>
      </c>
      <c r="N75" s="581">
        <v>0</v>
      </c>
      <c r="O75" s="581">
        <v>0</v>
      </c>
      <c r="P75" s="581">
        <v>0</v>
      </c>
      <c r="Q75" s="581">
        <v>0</v>
      </c>
      <c r="R75" s="581">
        <v>0</v>
      </c>
      <c r="S75" s="581">
        <v>0</v>
      </c>
      <c r="T75" s="581">
        <v>0</v>
      </c>
      <c r="U75" s="581">
        <v>0</v>
      </c>
      <c r="V75" s="581">
        <v>0</v>
      </c>
      <c r="W75" s="581">
        <v>0</v>
      </c>
      <c r="X75" s="581">
        <v>0</v>
      </c>
      <c r="Y75" s="581">
        <v>0</v>
      </c>
      <c r="Z75" s="581">
        <v>0</v>
      </c>
    </row>
    <row r="76" spans="1:28" outlineLevel="1">
      <c r="A76" s="817" t="s">
        <v>1512</v>
      </c>
      <c r="B76" s="818"/>
      <c r="C76" s="818"/>
      <c r="D76" s="493">
        <v>1</v>
      </c>
      <c r="E76" s="68">
        <f t="shared" si="7"/>
        <v>0</v>
      </c>
      <c r="F76" s="576">
        <v>0</v>
      </c>
      <c r="G76" s="576">
        <v>0</v>
      </c>
      <c r="H76" s="576">
        <v>0</v>
      </c>
      <c r="I76" s="576">
        <v>0</v>
      </c>
      <c r="J76" s="576">
        <v>0</v>
      </c>
      <c r="K76" s="576">
        <v>0</v>
      </c>
      <c r="L76" s="576">
        <v>0</v>
      </c>
      <c r="M76" s="576">
        <v>0</v>
      </c>
      <c r="N76" s="576">
        <v>0</v>
      </c>
      <c r="O76" s="576">
        <v>0</v>
      </c>
      <c r="P76" s="576">
        <v>0</v>
      </c>
      <c r="Q76" s="576">
        <v>0</v>
      </c>
      <c r="R76" s="576">
        <v>0</v>
      </c>
      <c r="S76" s="576">
        <v>0</v>
      </c>
      <c r="T76" s="576">
        <v>0</v>
      </c>
      <c r="U76" s="576">
        <v>0</v>
      </c>
      <c r="V76" s="576">
        <v>0</v>
      </c>
      <c r="W76" s="576">
        <v>0</v>
      </c>
      <c r="X76" s="576">
        <v>0</v>
      </c>
      <c r="Y76" s="576">
        <v>0</v>
      </c>
      <c r="Z76" s="576">
        <v>0</v>
      </c>
      <c r="AB76" s="363"/>
    </row>
    <row r="77" spans="1:28" outlineLevel="1">
      <c r="A77" s="817"/>
      <c r="B77" s="818"/>
      <c r="C77" s="818"/>
      <c r="D77" s="494">
        <v>2</v>
      </c>
      <c r="E77" s="68">
        <f t="shared" si="7"/>
        <v>0</v>
      </c>
      <c r="F77" s="577">
        <v>0</v>
      </c>
      <c r="G77" s="577">
        <v>0</v>
      </c>
      <c r="H77" s="577">
        <v>0</v>
      </c>
      <c r="I77" s="577">
        <v>0</v>
      </c>
      <c r="J77" s="577">
        <v>0</v>
      </c>
      <c r="K77" s="577">
        <v>0</v>
      </c>
      <c r="L77" s="577">
        <v>0</v>
      </c>
      <c r="M77" s="577">
        <v>0</v>
      </c>
      <c r="N77" s="577">
        <v>0</v>
      </c>
      <c r="O77" s="577">
        <v>0</v>
      </c>
      <c r="P77" s="577">
        <v>0</v>
      </c>
      <c r="Q77" s="577">
        <v>0</v>
      </c>
      <c r="R77" s="577">
        <v>0</v>
      </c>
      <c r="S77" s="577">
        <v>0</v>
      </c>
      <c r="T77" s="577">
        <v>0</v>
      </c>
      <c r="U77" s="577">
        <v>0</v>
      </c>
      <c r="V77" s="577">
        <v>0</v>
      </c>
      <c r="W77" s="577">
        <v>0</v>
      </c>
      <c r="X77" s="577">
        <v>0</v>
      </c>
      <c r="Y77" s="577">
        <v>0</v>
      </c>
      <c r="Z77" s="577">
        <v>0</v>
      </c>
      <c r="AB77" s="363"/>
    </row>
    <row r="78" spans="1:28" outlineLevel="1">
      <c r="A78" s="817"/>
      <c r="B78" s="818"/>
      <c r="C78" s="818"/>
      <c r="D78" s="494">
        <v>3</v>
      </c>
      <c r="E78" s="68">
        <f t="shared" si="7"/>
        <v>0</v>
      </c>
      <c r="F78" s="577">
        <v>0</v>
      </c>
      <c r="G78" s="577">
        <v>0</v>
      </c>
      <c r="H78" s="577">
        <v>0</v>
      </c>
      <c r="I78" s="577">
        <v>0</v>
      </c>
      <c r="J78" s="577">
        <v>0</v>
      </c>
      <c r="K78" s="577">
        <v>0</v>
      </c>
      <c r="L78" s="577">
        <v>0</v>
      </c>
      <c r="M78" s="577">
        <v>0</v>
      </c>
      <c r="N78" s="577">
        <v>0</v>
      </c>
      <c r="O78" s="577">
        <v>0</v>
      </c>
      <c r="P78" s="577">
        <v>0</v>
      </c>
      <c r="Q78" s="577">
        <v>0</v>
      </c>
      <c r="R78" s="577">
        <v>0</v>
      </c>
      <c r="S78" s="577">
        <v>0</v>
      </c>
      <c r="T78" s="577">
        <v>0</v>
      </c>
      <c r="U78" s="577">
        <v>0</v>
      </c>
      <c r="V78" s="577">
        <v>0</v>
      </c>
      <c r="W78" s="577">
        <v>0</v>
      </c>
      <c r="X78" s="577">
        <v>0</v>
      </c>
      <c r="Y78" s="577">
        <v>0</v>
      </c>
      <c r="Z78" s="577">
        <v>0</v>
      </c>
      <c r="AB78" s="363"/>
    </row>
    <row r="79" spans="1:28" outlineLevel="1">
      <c r="A79" s="817"/>
      <c r="B79" s="818"/>
      <c r="C79" s="818"/>
      <c r="D79" s="494">
        <v>4</v>
      </c>
      <c r="E79" s="68">
        <f t="shared" si="7"/>
        <v>0</v>
      </c>
      <c r="F79" s="577">
        <v>0</v>
      </c>
      <c r="G79" s="577">
        <v>0</v>
      </c>
      <c r="H79" s="577">
        <v>0</v>
      </c>
      <c r="I79" s="577">
        <v>0</v>
      </c>
      <c r="J79" s="577">
        <v>0</v>
      </c>
      <c r="K79" s="577">
        <v>0</v>
      </c>
      <c r="L79" s="577">
        <v>0</v>
      </c>
      <c r="M79" s="577">
        <v>0</v>
      </c>
      <c r="N79" s="577">
        <v>0</v>
      </c>
      <c r="O79" s="577">
        <v>0</v>
      </c>
      <c r="P79" s="577">
        <v>0</v>
      </c>
      <c r="Q79" s="577">
        <v>0</v>
      </c>
      <c r="R79" s="577">
        <v>0</v>
      </c>
      <c r="S79" s="577">
        <v>0</v>
      </c>
      <c r="T79" s="577">
        <v>0</v>
      </c>
      <c r="U79" s="577">
        <v>0</v>
      </c>
      <c r="V79" s="577">
        <v>0</v>
      </c>
      <c r="W79" s="577">
        <v>0</v>
      </c>
      <c r="X79" s="577">
        <v>0</v>
      </c>
      <c r="Y79" s="577">
        <v>0</v>
      </c>
      <c r="Z79" s="577">
        <v>0</v>
      </c>
    </row>
    <row r="80" spans="1:28" outlineLevel="1">
      <c r="A80" s="817"/>
      <c r="B80" s="818"/>
      <c r="C80" s="818"/>
      <c r="D80" s="494">
        <v>5</v>
      </c>
      <c r="E80" s="68">
        <f t="shared" si="7"/>
        <v>0</v>
      </c>
      <c r="F80" s="577">
        <v>0</v>
      </c>
      <c r="G80" s="577">
        <v>0</v>
      </c>
      <c r="H80" s="577">
        <v>0</v>
      </c>
      <c r="I80" s="577">
        <v>0</v>
      </c>
      <c r="J80" s="577">
        <v>0</v>
      </c>
      <c r="K80" s="577">
        <v>0</v>
      </c>
      <c r="L80" s="577">
        <v>0</v>
      </c>
      <c r="M80" s="577">
        <v>0</v>
      </c>
      <c r="N80" s="577">
        <v>0</v>
      </c>
      <c r="O80" s="577">
        <v>0</v>
      </c>
      <c r="P80" s="577">
        <v>0</v>
      </c>
      <c r="Q80" s="577">
        <v>0</v>
      </c>
      <c r="R80" s="577">
        <v>0</v>
      </c>
      <c r="S80" s="577">
        <v>0</v>
      </c>
      <c r="T80" s="577">
        <v>0</v>
      </c>
      <c r="U80" s="577">
        <v>0</v>
      </c>
      <c r="V80" s="577">
        <v>0</v>
      </c>
      <c r="W80" s="577">
        <v>0</v>
      </c>
      <c r="X80" s="577">
        <v>0</v>
      </c>
      <c r="Y80" s="577">
        <v>0</v>
      </c>
      <c r="Z80" s="577">
        <v>0</v>
      </c>
    </row>
    <row r="81" spans="1:26" outlineLevel="1">
      <c r="A81" s="817"/>
      <c r="B81" s="818"/>
      <c r="C81" s="818"/>
      <c r="D81" s="494">
        <v>6</v>
      </c>
      <c r="E81" s="68">
        <f t="shared" si="7"/>
        <v>0</v>
      </c>
      <c r="F81" s="577">
        <v>0</v>
      </c>
      <c r="G81" s="577">
        <v>0</v>
      </c>
      <c r="H81" s="577">
        <v>0</v>
      </c>
      <c r="I81" s="577">
        <v>0</v>
      </c>
      <c r="J81" s="577">
        <v>0</v>
      </c>
      <c r="K81" s="577">
        <v>0</v>
      </c>
      <c r="L81" s="577">
        <v>0</v>
      </c>
      <c r="M81" s="577">
        <v>0</v>
      </c>
      <c r="N81" s="577">
        <v>0</v>
      </c>
      <c r="O81" s="577">
        <v>0</v>
      </c>
      <c r="P81" s="577">
        <v>0</v>
      </c>
      <c r="Q81" s="577">
        <v>0</v>
      </c>
      <c r="R81" s="577">
        <v>0</v>
      </c>
      <c r="S81" s="577">
        <v>0</v>
      </c>
      <c r="T81" s="577">
        <v>0</v>
      </c>
      <c r="U81" s="577">
        <v>0</v>
      </c>
      <c r="V81" s="577">
        <v>0</v>
      </c>
      <c r="W81" s="577">
        <v>0</v>
      </c>
      <c r="X81" s="577">
        <v>0</v>
      </c>
      <c r="Y81" s="577">
        <v>0</v>
      </c>
      <c r="Z81" s="577">
        <v>0</v>
      </c>
    </row>
    <row r="82" spans="1:26" outlineLevel="1">
      <c r="A82" s="817"/>
      <c r="B82" s="818"/>
      <c r="C82" s="818"/>
      <c r="D82" s="494">
        <v>7</v>
      </c>
      <c r="E82" s="68">
        <f t="shared" si="7"/>
        <v>0</v>
      </c>
      <c r="F82" s="577">
        <v>0</v>
      </c>
      <c r="G82" s="577">
        <v>0</v>
      </c>
      <c r="H82" s="577">
        <v>0</v>
      </c>
      <c r="I82" s="577">
        <v>0</v>
      </c>
      <c r="J82" s="577">
        <v>0</v>
      </c>
      <c r="K82" s="577">
        <v>0</v>
      </c>
      <c r="L82" s="577">
        <v>0</v>
      </c>
      <c r="M82" s="577">
        <v>0</v>
      </c>
      <c r="N82" s="577">
        <v>0</v>
      </c>
      <c r="O82" s="577">
        <v>0</v>
      </c>
      <c r="P82" s="577">
        <v>0</v>
      </c>
      <c r="Q82" s="577">
        <v>0</v>
      </c>
      <c r="R82" s="577">
        <v>0</v>
      </c>
      <c r="S82" s="577">
        <v>0</v>
      </c>
      <c r="T82" s="577">
        <v>0</v>
      </c>
      <c r="U82" s="577">
        <v>0</v>
      </c>
      <c r="V82" s="577">
        <v>0</v>
      </c>
      <c r="W82" s="577">
        <v>0</v>
      </c>
      <c r="X82" s="577">
        <v>0</v>
      </c>
      <c r="Y82" s="577">
        <v>0</v>
      </c>
      <c r="Z82" s="577">
        <v>0</v>
      </c>
    </row>
    <row r="83" spans="1:26" outlineLevel="1">
      <c r="A83" s="817"/>
      <c r="B83" s="818"/>
      <c r="C83" s="818"/>
      <c r="D83" s="494">
        <v>8</v>
      </c>
      <c r="E83" s="68">
        <f t="shared" si="7"/>
        <v>0</v>
      </c>
      <c r="F83" s="577">
        <v>0</v>
      </c>
      <c r="G83" s="577">
        <v>0</v>
      </c>
      <c r="H83" s="577">
        <v>0</v>
      </c>
      <c r="I83" s="577">
        <v>0</v>
      </c>
      <c r="J83" s="577">
        <v>0</v>
      </c>
      <c r="K83" s="577">
        <v>0</v>
      </c>
      <c r="L83" s="577">
        <v>0</v>
      </c>
      <c r="M83" s="577">
        <v>0</v>
      </c>
      <c r="N83" s="577">
        <v>0</v>
      </c>
      <c r="O83" s="577">
        <v>0</v>
      </c>
      <c r="P83" s="577">
        <v>0</v>
      </c>
      <c r="Q83" s="577">
        <v>0</v>
      </c>
      <c r="R83" s="577">
        <v>0</v>
      </c>
      <c r="S83" s="577">
        <v>0</v>
      </c>
      <c r="T83" s="577">
        <v>0</v>
      </c>
      <c r="U83" s="577">
        <v>0</v>
      </c>
      <c r="V83" s="577">
        <v>0</v>
      </c>
      <c r="W83" s="577">
        <v>0</v>
      </c>
      <c r="X83" s="577">
        <v>0</v>
      </c>
      <c r="Y83" s="577">
        <v>0</v>
      </c>
      <c r="Z83" s="577">
        <v>0</v>
      </c>
    </row>
    <row r="84" spans="1:26" outlineLevel="1">
      <c r="A84" s="817"/>
      <c r="B84" s="818"/>
      <c r="C84" s="818"/>
      <c r="D84" s="494">
        <v>9</v>
      </c>
      <c r="E84" s="68">
        <f t="shared" si="7"/>
        <v>0</v>
      </c>
      <c r="F84" s="577">
        <v>0</v>
      </c>
      <c r="G84" s="577">
        <v>0</v>
      </c>
      <c r="H84" s="577">
        <v>0</v>
      </c>
      <c r="I84" s="577">
        <v>0</v>
      </c>
      <c r="J84" s="577">
        <v>0</v>
      </c>
      <c r="K84" s="577">
        <v>0</v>
      </c>
      <c r="L84" s="577">
        <v>0</v>
      </c>
      <c r="M84" s="577">
        <v>0</v>
      </c>
      <c r="N84" s="577">
        <v>0</v>
      </c>
      <c r="O84" s="577">
        <v>0</v>
      </c>
      <c r="P84" s="577">
        <v>0</v>
      </c>
      <c r="Q84" s="577">
        <v>0</v>
      </c>
      <c r="R84" s="577">
        <v>0</v>
      </c>
      <c r="S84" s="577">
        <v>0</v>
      </c>
      <c r="T84" s="577">
        <v>0</v>
      </c>
      <c r="U84" s="577">
        <v>0</v>
      </c>
      <c r="V84" s="577">
        <v>0</v>
      </c>
      <c r="W84" s="577">
        <v>0</v>
      </c>
      <c r="X84" s="577">
        <v>0</v>
      </c>
      <c r="Y84" s="577">
        <v>0</v>
      </c>
      <c r="Z84" s="577">
        <v>0</v>
      </c>
    </row>
    <row r="85" spans="1:26" ht="15.75" outlineLevel="1" thickBot="1">
      <c r="A85" s="817"/>
      <c r="B85" s="818"/>
      <c r="C85" s="818"/>
      <c r="D85" s="495">
        <v>10</v>
      </c>
      <c r="E85" s="69">
        <f t="shared" si="7"/>
        <v>0</v>
      </c>
      <c r="F85" s="577">
        <v>0</v>
      </c>
      <c r="G85" s="577">
        <v>0</v>
      </c>
      <c r="H85" s="577">
        <v>0</v>
      </c>
      <c r="I85" s="577">
        <v>0</v>
      </c>
      <c r="J85" s="577">
        <v>0</v>
      </c>
      <c r="K85" s="577">
        <v>0</v>
      </c>
      <c r="L85" s="577">
        <v>0</v>
      </c>
      <c r="M85" s="577">
        <v>0</v>
      </c>
      <c r="N85" s="577">
        <v>0</v>
      </c>
      <c r="O85" s="577">
        <v>0</v>
      </c>
      <c r="P85" s="577">
        <v>0</v>
      </c>
      <c r="Q85" s="577">
        <v>0</v>
      </c>
      <c r="R85" s="577">
        <v>0</v>
      </c>
      <c r="S85" s="577">
        <v>0</v>
      </c>
      <c r="T85" s="577">
        <v>0</v>
      </c>
      <c r="U85" s="577">
        <v>0</v>
      </c>
      <c r="V85" s="577">
        <v>0</v>
      </c>
      <c r="W85" s="577">
        <v>0</v>
      </c>
      <c r="X85" s="577">
        <v>0</v>
      </c>
      <c r="Y85" s="577">
        <v>0</v>
      </c>
      <c r="Z85" s="577">
        <v>0</v>
      </c>
    </row>
    <row r="86" spans="1:26" outlineLevel="1">
      <c r="A86" s="817" t="s">
        <v>1513</v>
      </c>
      <c r="B86" s="818" t="s">
        <v>1504</v>
      </c>
      <c r="C86" s="818">
        <v>610</v>
      </c>
      <c r="D86" s="493">
        <v>1</v>
      </c>
      <c r="E86" s="68">
        <f t="shared" si="7"/>
        <v>0</v>
      </c>
      <c r="F86" s="576">
        <v>0</v>
      </c>
      <c r="G86" s="576">
        <v>0</v>
      </c>
      <c r="H86" s="576">
        <v>0</v>
      </c>
      <c r="I86" s="576">
        <v>0</v>
      </c>
      <c r="J86" s="576">
        <v>0</v>
      </c>
      <c r="K86" s="576">
        <v>0</v>
      </c>
      <c r="L86" s="576">
        <v>0</v>
      </c>
      <c r="M86" s="576">
        <v>0</v>
      </c>
      <c r="N86" s="576">
        <v>0</v>
      </c>
      <c r="O86" s="576">
        <v>0</v>
      </c>
      <c r="P86" s="576">
        <v>0</v>
      </c>
      <c r="Q86" s="576">
        <v>0</v>
      </c>
      <c r="R86" s="576">
        <v>0</v>
      </c>
      <c r="S86" s="576">
        <v>0</v>
      </c>
      <c r="T86" s="576">
        <v>0</v>
      </c>
      <c r="U86" s="576">
        <v>0</v>
      </c>
      <c r="V86" s="576">
        <v>0</v>
      </c>
      <c r="W86" s="576">
        <v>0</v>
      </c>
      <c r="X86" s="576">
        <v>0</v>
      </c>
      <c r="Y86" s="576">
        <v>0</v>
      </c>
      <c r="Z86" s="576">
        <v>0</v>
      </c>
    </row>
    <row r="87" spans="1:26" outlineLevel="1">
      <c r="A87" s="817"/>
      <c r="B87" s="818"/>
      <c r="C87" s="818"/>
      <c r="D87" s="494">
        <v>2</v>
      </c>
      <c r="E87" s="68">
        <f t="shared" si="7"/>
        <v>0</v>
      </c>
      <c r="F87" s="577">
        <v>0</v>
      </c>
      <c r="G87" s="577">
        <v>0</v>
      </c>
      <c r="H87" s="577">
        <v>0</v>
      </c>
      <c r="I87" s="577">
        <v>0</v>
      </c>
      <c r="J87" s="577">
        <v>0</v>
      </c>
      <c r="K87" s="577">
        <v>0</v>
      </c>
      <c r="L87" s="577">
        <v>0</v>
      </c>
      <c r="M87" s="577">
        <v>0</v>
      </c>
      <c r="N87" s="577">
        <v>0</v>
      </c>
      <c r="O87" s="577">
        <v>0</v>
      </c>
      <c r="P87" s="577">
        <v>0</v>
      </c>
      <c r="Q87" s="577">
        <v>0</v>
      </c>
      <c r="R87" s="577">
        <v>0</v>
      </c>
      <c r="S87" s="577">
        <v>0</v>
      </c>
      <c r="T87" s="577">
        <v>0</v>
      </c>
      <c r="U87" s="577">
        <v>0</v>
      </c>
      <c r="V87" s="577">
        <v>0</v>
      </c>
      <c r="W87" s="577">
        <v>0</v>
      </c>
      <c r="X87" s="577">
        <v>0</v>
      </c>
      <c r="Y87" s="577">
        <v>0</v>
      </c>
      <c r="Z87" s="577">
        <v>0</v>
      </c>
    </row>
    <row r="88" spans="1:26" outlineLevel="1">
      <c r="A88" s="817"/>
      <c r="B88" s="818"/>
      <c r="C88" s="818"/>
      <c r="D88" s="494">
        <v>3</v>
      </c>
      <c r="E88" s="68">
        <f t="shared" si="7"/>
        <v>0</v>
      </c>
      <c r="F88" s="577">
        <v>0</v>
      </c>
      <c r="G88" s="577">
        <v>0</v>
      </c>
      <c r="H88" s="577">
        <v>0</v>
      </c>
      <c r="I88" s="577">
        <v>0</v>
      </c>
      <c r="J88" s="577">
        <v>0</v>
      </c>
      <c r="K88" s="577">
        <v>0</v>
      </c>
      <c r="L88" s="577">
        <v>0</v>
      </c>
      <c r="M88" s="577">
        <v>0</v>
      </c>
      <c r="N88" s="577">
        <v>0</v>
      </c>
      <c r="O88" s="577">
        <v>0</v>
      </c>
      <c r="P88" s="577">
        <v>0</v>
      </c>
      <c r="Q88" s="577">
        <v>0</v>
      </c>
      <c r="R88" s="577">
        <v>0</v>
      </c>
      <c r="S88" s="577">
        <v>0</v>
      </c>
      <c r="T88" s="577">
        <v>0</v>
      </c>
      <c r="U88" s="577">
        <v>0</v>
      </c>
      <c r="V88" s="577">
        <v>0</v>
      </c>
      <c r="W88" s="577">
        <v>0</v>
      </c>
      <c r="X88" s="577">
        <v>0</v>
      </c>
      <c r="Y88" s="577">
        <v>0</v>
      </c>
      <c r="Z88" s="577">
        <v>0</v>
      </c>
    </row>
    <row r="89" spans="1:26" outlineLevel="1">
      <c r="A89" s="817"/>
      <c r="B89" s="818"/>
      <c r="C89" s="818"/>
      <c r="D89" s="494">
        <v>4</v>
      </c>
      <c r="E89" s="68">
        <f t="shared" si="7"/>
        <v>0</v>
      </c>
      <c r="F89" s="577">
        <v>0</v>
      </c>
      <c r="G89" s="577">
        <v>0</v>
      </c>
      <c r="H89" s="577">
        <v>0</v>
      </c>
      <c r="I89" s="577">
        <v>0</v>
      </c>
      <c r="J89" s="577">
        <v>0</v>
      </c>
      <c r="K89" s="577">
        <v>0</v>
      </c>
      <c r="L89" s="577">
        <v>0</v>
      </c>
      <c r="M89" s="577">
        <v>0</v>
      </c>
      <c r="N89" s="577">
        <v>0</v>
      </c>
      <c r="O89" s="577">
        <v>0</v>
      </c>
      <c r="P89" s="577">
        <v>0</v>
      </c>
      <c r="Q89" s="577">
        <v>0</v>
      </c>
      <c r="R89" s="577">
        <v>0</v>
      </c>
      <c r="S89" s="577">
        <v>0</v>
      </c>
      <c r="T89" s="577">
        <v>0</v>
      </c>
      <c r="U89" s="577">
        <v>0</v>
      </c>
      <c r="V89" s="577">
        <v>0</v>
      </c>
      <c r="W89" s="577">
        <v>0</v>
      </c>
      <c r="X89" s="577">
        <v>0</v>
      </c>
      <c r="Y89" s="577">
        <v>0</v>
      </c>
      <c r="Z89" s="577">
        <v>0</v>
      </c>
    </row>
    <row r="90" spans="1:26" outlineLevel="1">
      <c r="A90" s="817"/>
      <c r="B90" s="818"/>
      <c r="C90" s="818"/>
      <c r="D90" s="494">
        <v>5</v>
      </c>
      <c r="E90" s="68">
        <f t="shared" si="7"/>
        <v>0</v>
      </c>
      <c r="F90" s="577">
        <v>0</v>
      </c>
      <c r="G90" s="577">
        <v>0</v>
      </c>
      <c r="H90" s="577">
        <v>0</v>
      </c>
      <c r="I90" s="577">
        <v>0</v>
      </c>
      <c r="J90" s="577">
        <v>0</v>
      </c>
      <c r="K90" s="577">
        <v>0</v>
      </c>
      <c r="L90" s="577">
        <v>0</v>
      </c>
      <c r="M90" s="577">
        <v>0</v>
      </c>
      <c r="N90" s="577">
        <v>0</v>
      </c>
      <c r="O90" s="577">
        <v>0</v>
      </c>
      <c r="P90" s="577">
        <v>0</v>
      </c>
      <c r="Q90" s="577">
        <v>0</v>
      </c>
      <c r="R90" s="577">
        <v>0</v>
      </c>
      <c r="S90" s="577">
        <v>0</v>
      </c>
      <c r="T90" s="577">
        <v>0</v>
      </c>
      <c r="U90" s="577">
        <v>0</v>
      </c>
      <c r="V90" s="577">
        <v>0</v>
      </c>
      <c r="W90" s="577">
        <v>0</v>
      </c>
      <c r="X90" s="577">
        <v>0</v>
      </c>
      <c r="Y90" s="577">
        <v>0</v>
      </c>
      <c r="Z90" s="577">
        <v>0</v>
      </c>
    </row>
    <row r="91" spans="1:26" outlineLevel="1">
      <c r="A91" s="817"/>
      <c r="B91" s="818"/>
      <c r="C91" s="818"/>
      <c r="D91" s="494">
        <v>6</v>
      </c>
      <c r="E91" s="68">
        <f t="shared" si="7"/>
        <v>0</v>
      </c>
      <c r="F91" s="577">
        <v>0</v>
      </c>
      <c r="G91" s="577">
        <v>0</v>
      </c>
      <c r="H91" s="577">
        <v>0</v>
      </c>
      <c r="I91" s="577">
        <v>0</v>
      </c>
      <c r="J91" s="577">
        <v>0</v>
      </c>
      <c r="K91" s="577">
        <v>0</v>
      </c>
      <c r="L91" s="577">
        <v>0</v>
      </c>
      <c r="M91" s="577">
        <v>0</v>
      </c>
      <c r="N91" s="577">
        <v>0</v>
      </c>
      <c r="O91" s="577">
        <v>0</v>
      </c>
      <c r="P91" s="577">
        <v>0</v>
      </c>
      <c r="Q91" s="577">
        <v>0</v>
      </c>
      <c r="R91" s="577">
        <v>0</v>
      </c>
      <c r="S91" s="577">
        <v>0</v>
      </c>
      <c r="T91" s="577">
        <v>0</v>
      </c>
      <c r="U91" s="577">
        <v>0</v>
      </c>
      <c r="V91" s="577">
        <v>0</v>
      </c>
      <c r="W91" s="577">
        <v>0</v>
      </c>
      <c r="X91" s="577">
        <v>0</v>
      </c>
      <c r="Y91" s="577">
        <v>0</v>
      </c>
      <c r="Z91" s="577">
        <v>0</v>
      </c>
    </row>
    <row r="92" spans="1:26" outlineLevel="1">
      <c r="A92" s="817"/>
      <c r="B92" s="818"/>
      <c r="C92" s="818"/>
      <c r="D92" s="494">
        <v>7</v>
      </c>
      <c r="E92" s="68">
        <f t="shared" si="7"/>
        <v>0</v>
      </c>
      <c r="F92" s="577">
        <v>0</v>
      </c>
      <c r="G92" s="577">
        <v>0</v>
      </c>
      <c r="H92" s="577">
        <v>0</v>
      </c>
      <c r="I92" s="577">
        <v>0</v>
      </c>
      <c r="J92" s="577">
        <v>0</v>
      </c>
      <c r="K92" s="577">
        <v>0</v>
      </c>
      <c r="L92" s="577">
        <v>0</v>
      </c>
      <c r="M92" s="577">
        <v>0</v>
      </c>
      <c r="N92" s="577">
        <v>0</v>
      </c>
      <c r="O92" s="577">
        <v>0</v>
      </c>
      <c r="P92" s="577">
        <v>0</v>
      </c>
      <c r="Q92" s="577">
        <v>0</v>
      </c>
      <c r="R92" s="577">
        <v>0</v>
      </c>
      <c r="S92" s="577">
        <v>0</v>
      </c>
      <c r="T92" s="577">
        <v>0</v>
      </c>
      <c r="U92" s="577">
        <v>0</v>
      </c>
      <c r="V92" s="577">
        <v>0</v>
      </c>
      <c r="W92" s="577">
        <v>0</v>
      </c>
      <c r="X92" s="577">
        <v>0</v>
      </c>
      <c r="Y92" s="577">
        <v>0</v>
      </c>
      <c r="Z92" s="577">
        <v>0</v>
      </c>
    </row>
    <row r="93" spans="1:26" outlineLevel="1">
      <c r="A93" s="817"/>
      <c r="B93" s="818"/>
      <c r="C93" s="818"/>
      <c r="D93" s="494">
        <v>8</v>
      </c>
      <c r="E93" s="68">
        <f t="shared" si="7"/>
        <v>0</v>
      </c>
      <c r="F93" s="577">
        <v>0</v>
      </c>
      <c r="G93" s="577">
        <v>0</v>
      </c>
      <c r="H93" s="577">
        <v>0</v>
      </c>
      <c r="I93" s="577">
        <v>0</v>
      </c>
      <c r="J93" s="577">
        <v>0</v>
      </c>
      <c r="K93" s="577">
        <v>0</v>
      </c>
      <c r="L93" s="577">
        <v>0</v>
      </c>
      <c r="M93" s="577">
        <v>0</v>
      </c>
      <c r="N93" s="577">
        <v>0</v>
      </c>
      <c r="O93" s="577">
        <v>0</v>
      </c>
      <c r="P93" s="577">
        <v>0</v>
      </c>
      <c r="Q93" s="577">
        <v>0</v>
      </c>
      <c r="R93" s="577">
        <v>0</v>
      </c>
      <c r="S93" s="577">
        <v>0</v>
      </c>
      <c r="T93" s="577">
        <v>0</v>
      </c>
      <c r="U93" s="577">
        <v>0</v>
      </c>
      <c r="V93" s="577">
        <v>0</v>
      </c>
      <c r="W93" s="577">
        <v>0</v>
      </c>
      <c r="X93" s="577">
        <v>0</v>
      </c>
      <c r="Y93" s="577">
        <v>0</v>
      </c>
      <c r="Z93" s="577">
        <v>0</v>
      </c>
    </row>
    <row r="94" spans="1:26" outlineLevel="1">
      <c r="A94" s="817"/>
      <c r="B94" s="818"/>
      <c r="C94" s="818"/>
      <c r="D94" s="494">
        <v>9</v>
      </c>
      <c r="E94" s="68">
        <f t="shared" si="7"/>
        <v>0</v>
      </c>
      <c r="F94" s="577">
        <v>0</v>
      </c>
      <c r="G94" s="577">
        <v>0</v>
      </c>
      <c r="H94" s="577">
        <v>0</v>
      </c>
      <c r="I94" s="577">
        <v>0</v>
      </c>
      <c r="J94" s="577">
        <v>0</v>
      </c>
      <c r="K94" s="577">
        <v>0</v>
      </c>
      <c r="L94" s="577">
        <v>0</v>
      </c>
      <c r="M94" s="577">
        <v>0</v>
      </c>
      <c r="N94" s="577">
        <v>0</v>
      </c>
      <c r="O94" s="577">
        <v>0</v>
      </c>
      <c r="P94" s="577">
        <v>0</v>
      </c>
      <c r="Q94" s="577">
        <v>0</v>
      </c>
      <c r="R94" s="577">
        <v>0</v>
      </c>
      <c r="S94" s="577">
        <v>0</v>
      </c>
      <c r="T94" s="577">
        <v>0</v>
      </c>
      <c r="U94" s="577">
        <v>0</v>
      </c>
      <c r="V94" s="577">
        <v>0</v>
      </c>
      <c r="W94" s="577">
        <v>0</v>
      </c>
      <c r="X94" s="577">
        <v>0</v>
      </c>
      <c r="Y94" s="577">
        <v>0</v>
      </c>
      <c r="Z94" s="577">
        <v>0</v>
      </c>
    </row>
    <row r="95" spans="1:26" ht="15.75" outlineLevel="1" thickBot="1">
      <c r="A95" s="817"/>
      <c r="B95" s="818"/>
      <c r="C95" s="818"/>
      <c r="D95" s="495">
        <v>10</v>
      </c>
      <c r="E95" s="69">
        <f t="shared" si="7"/>
        <v>0</v>
      </c>
      <c r="F95" s="581">
        <v>0</v>
      </c>
      <c r="G95" s="581">
        <v>0</v>
      </c>
      <c r="H95" s="581">
        <v>0</v>
      </c>
      <c r="I95" s="581">
        <v>0</v>
      </c>
      <c r="J95" s="581">
        <v>0</v>
      </c>
      <c r="K95" s="581">
        <v>0</v>
      </c>
      <c r="L95" s="581">
        <v>0</v>
      </c>
      <c r="M95" s="581">
        <v>0</v>
      </c>
      <c r="N95" s="581">
        <v>0</v>
      </c>
      <c r="O95" s="581">
        <v>0</v>
      </c>
      <c r="P95" s="581">
        <v>0</v>
      </c>
      <c r="Q95" s="581">
        <v>0</v>
      </c>
      <c r="R95" s="581">
        <v>0</v>
      </c>
      <c r="S95" s="581">
        <v>0</v>
      </c>
      <c r="T95" s="581">
        <v>0</v>
      </c>
      <c r="U95" s="581">
        <v>0</v>
      </c>
      <c r="V95" s="581">
        <v>0</v>
      </c>
      <c r="W95" s="581">
        <v>0</v>
      </c>
      <c r="X95" s="581">
        <v>0</v>
      </c>
      <c r="Y95" s="581">
        <v>0</v>
      </c>
      <c r="Z95" s="581">
        <v>0</v>
      </c>
    </row>
    <row r="96" spans="1:26" outlineLevel="1">
      <c r="A96" s="817" t="s">
        <v>1514</v>
      </c>
      <c r="B96" s="818" t="s">
        <v>1506</v>
      </c>
      <c r="C96" s="818">
        <v>637040</v>
      </c>
      <c r="D96" s="493">
        <v>1</v>
      </c>
      <c r="E96" s="68">
        <f t="shared" si="7"/>
        <v>0</v>
      </c>
      <c r="F96" s="576">
        <v>0</v>
      </c>
      <c r="G96" s="576">
        <v>0</v>
      </c>
      <c r="H96" s="576">
        <v>0</v>
      </c>
      <c r="I96" s="576">
        <v>0</v>
      </c>
      <c r="J96" s="576">
        <v>0</v>
      </c>
      <c r="K96" s="576">
        <v>0</v>
      </c>
      <c r="L96" s="576">
        <v>0</v>
      </c>
      <c r="M96" s="576">
        <v>0</v>
      </c>
      <c r="N96" s="576">
        <v>0</v>
      </c>
      <c r="O96" s="576">
        <v>0</v>
      </c>
      <c r="P96" s="576">
        <v>0</v>
      </c>
      <c r="Q96" s="576">
        <v>0</v>
      </c>
      <c r="R96" s="576">
        <v>0</v>
      </c>
      <c r="S96" s="576">
        <v>0</v>
      </c>
      <c r="T96" s="576">
        <v>0</v>
      </c>
      <c r="U96" s="576">
        <v>0</v>
      </c>
      <c r="V96" s="576">
        <v>0</v>
      </c>
      <c r="W96" s="576">
        <v>0</v>
      </c>
      <c r="X96" s="576">
        <v>0</v>
      </c>
      <c r="Y96" s="576">
        <v>0</v>
      </c>
      <c r="Z96" s="576">
        <v>0</v>
      </c>
    </row>
    <row r="97" spans="1:26" outlineLevel="1">
      <c r="A97" s="817"/>
      <c r="B97" s="818"/>
      <c r="C97" s="818"/>
      <c r="D97" s="494">
        <v>2</v>
      </c>
      <c r="E97" s="68">
        <f t="shared" si="7"/>
        <v>0</v>
      </c>
      <c r="F97" s="577">
        <v>0</v>
      </c>
      <c r="G97" s="577">
        <v>0</v>
      </c>
      <c r="H97" s="577">
        <v>0</v>
      </c>
      <c r="I97" s="577">
        <v>0</v>
      </c>
      <c r="J97" s="577">
        <v>0</v>
      </c>
      <c r="K97" s="577">
        <v>0</v>
      </c>
      <c r="L97" s="577">
        <v>0</v>
      </c>
      <c r="M97" s="577">
        <v>0</v>
      </c>
      <c r="N97" s="577">
        <v>0</v>
      </c>
      <c r="O97" s="577">
        <v>0</v>
      </c>
      <c r="P97" s="577">
        <v>0</v>
      </c>
      <c r="Q97" s="577">
        <v>0</v>
      </c>
      <c r="R97" s="577">
        <v>0</v>
      </c>
      <c r="S97" s="577">
        <v>0</v>
      </c>
      <c r="T97" s="577">
        <v>0</v>
      </c>
      <c r="U97" s="577">
        <v>0</v>
      </c>
      <c r="V97" s="577">
        <v>0</v>
      </c>
      <c r="W97" s="577">
        <v>0</v>
      </c>
      <c r="X97" s="577">
        <v>0</v>
      </c>
      <c r="Y97" s="577">
        <v>0</v>
      </c>
      <c r="Z97" s="577">
        <v>0</v>
      </c>
    </row>
    <row r="98" spans="1:26" outlineLevel="1">
      <c r="A98" s="817"/>
      <c r="B98" s="818"/>
      <c r="C98" s="818"/>
      <c r="D98" s="494">
        <v>3</v>
      </c>
      <c r="E98" s="68">
        <f t="shared" si="7"/>
        <v>0</v>
      </c>
      <c r="F98" s="577">
        <v>0</v>
      </c>
      <c r="G98" s="577">
        <v>0</v>
      </c>
      <c r="H98" s="577">
        <v>0</v>
      </c>
      <c r="I98" s="577">
        <v>0</v>
      </c>
      <c r="J98" s="577">
        <v>0</v>
      </c>
      <c r="K98" s="577">
        <v>0</v>
      </c>
      <c r="L98" s="577">
        <v>0</v>
      </c>
      <c r="M98" s="577">
        <v>0</v>
      </c>
      <c r="N98" s="577">
        <v>0</v>
      </c>
      <c r="O98" s="577">
        <v>0</v>
      </c>
      <c r="P98" s="577">
        <v>0</v>
      </c>
      <c r="Q98" s="577">
        <v>0</v>
      </c>
      <c r="R98" s="577">
        <v>0</v>
      </c>
      <c r="S98" s="577">
        <v>0</v>
      </c>
      <c r="T98" s="577">
        <v>0</v>
      </c>
      <c r="U98" s="577">
        <v>0</v>
      </c>
      <c r="V98" s="577">
        <v>0</v>
      </c>
      <c r="W98" s="577">
        <v>0</v>
      </c>
      <c r="X98" s="577">
        <v>0</v>
      </c>
      <c r="Y98" s="577">
        <v>0</v>
      </c>
      <c r="Z98" s="577">
        <v>0</v>
      </c>
    </row>
    <row r="99" spans="1:26" outlineLevel="1">
      <c r="A99" s="817"/>
      <c r="B99" s="818"/>
      <c r="C99" s="818"/>
      <c r="D99" s="494">
        <v>4</v>
      </c>
      <c r="E99" s="68">
        <f t="shared" si="7"/>
        <v>0</v>
      </c>
      <c r="F99" s="577">
        <v>0</v>
      </c>
      <c r="G99" s="577">
        <v>0</v>
      </c>
      <c r="H99" s="577">
        <v>0</v>
      </c>
      <c r="I99" s="577">
        <v>0</v>
      </c>
      <c r="J99" s="577">
        <v>0</v>
      </c>
      <c r="K99" s="577">
        <v>0</v>
      </c>
      <c r="L99" s="577">
        <v>0</v>
      </c>
      <c r="M99" s="577">
        <v>0</v>
      </c>
      <c r="N99" s="577">
        <v>0</v>
      </c>
      <c r="O99" s="577">
        <v>0</v>
      </c>
      <c r="P99" s="577">
        <v>0</v>
      </c>
      <c r="Q99" s="577">
        <v>0</v>
      </c>
      <c r="R99" s="577">
        <v>0</v>
      </c>
      <c r="S99" s="577">
        <v>0</v>
      </c>
      <c r="T99" s="577">
        <v>0</v>
      </c>
      <c r="U99" s="577">
        <v>0</v>
      </c>
      <c r="V99" s="577">
        <v>0</v>
      </c>
      <c r="W99" s="577">
        <v>0</v>
      </c>
      <c r="X99" s="577">
        <v>0</v>
      </c>
      <c r="Y99" s="577">
        <v>0</v>
      </c>
      <c r="Z99" s="577">
        <v>0</v>
      </c>
    </row>
    <row r="100" spans="1:26" outlineLevel="1">
      <c r="A100" s="817"/>
      <c r="B100" s="818"/>
      <c r="C100" s="818"/>
      <c r="D100" s="494">
        <v>5</v>
      </c>
      <c r="E100" s="68">
        <f t="shared" si="7"/>
        <v>0</v>
      </c>
      <c r="F100" s="577">
        <v>0</v>
      </c>
      <c r="G100" s="577">
        <v>0</v>
      </c>
      <c r="H100" s="577">
        <v>0</v>
      </c>
      <c r="I100" s="577">
        <v>0</v>
      </c>
      <c r="J100" s="577">
        <v>0</v>
      </c>
      <c r="K100" s="577">
        <v>0</v>
      </c>
      <c r="L100" s="577">
        <v>0</v>
      </c>
      <c r="M100" s="577">
        <v>0</v>
      </c>
      <c r="N100" s="577">
        <v>0</v>
      </c>
      <c r="O100" s="577">
        <v>0</v>
      </c>
      <c r="P100" s="577">
        <v>0</v>
      </c>
      <c r="Q100" s="577">
        <v>0</v>
      </c>
      <c r="R100" s="577">
        <v>0</v>
      </c>
      <c r="S100" s="577">
        <v>0</v>
      </c>
      <c r="T100" s="577">
        <v>0</v>
      </c>
      <c r="U100" s="577">
        <v>0</v>
      </c>
      <c r="V100" s="577">
        <v>0</v>
      </c>
      <c r="W100" s="577">
        <v>0</v>
      </c>
      <c r="X100" s="577">
        <v>0</v>
      </c>
      <c r="Y100" s="577">
        <v>0</v>
      </c>
      <c r="Z100" s="577">
        <v>0</v>
      </c>
    </row>
    <row r="101" spans="1:26" outlineLevel="1">
      <c r="A101" s="817"/>
      <c r="B101" s="818"/>
      <c r="C101" s="818"/>
      <c r="D101" s="494">
        <v>6</v>
      </c>
      <c r="E101" s="68">
        <f t="shared" si="7"/>
        <v>0</v>
      </c>
      <c r="F101" s="577">
        <v>0</v>
      </c>
      <c r="G101" s="577">
        <v>0</v>
      </c>
      <c r="H101" s="577">
        <v>0</v>
      </c>
      <c r="I101" s="577">
        <v>0</v>
      </c>
      <c r="J101" s="577">
        <v>0</v>
      </c>
      <c r="K101" s="577">
        <v>0</v>
      </c>
      <c r="L101" s="577">
        <v>0</v>
      </c>
      <c r="M101" s="577">
        <v>0</v>
      </c>
      <c r="N101" s="577">
        <v>0</v>
      </c>
      <c r="O101" s="577">
        <v>0</v>
      </c>
      <c r="P101" s="577">
        <v>0</v>
      </c>
      <c r="Q101" s="577">
        <v>0</v>
      </c>
      <c r="R101" s="577">
        <v>0</v>
      </c>
      <c r="S101" s="577">
        <v>0</v>
      </c>
      <c r="T101" s="577">
        <v>0</v>
      </c>
      <c r="U101" s="577">
        <v>0</v>
      </c>
      <c r="V101" s="577">
        <v>0</v>
      </c>
      <c r="W101" s="577">
        <v>0</v>
      </c>
      <c r="X101" s="577">
        <v>0</v>
      </c>
      <c r="Y101" s="577">
        <v>0</v>
      </c>
      <c r="Z101" s="577">
        <v>0</v>
      </c>
    </row>
    <row r="102" spans="1:26" outlineLevel="1">
      <c r="A102" s="817"/>
      <c r="B102" s="818"/>
      <c r="C102" s="818"/>
      <c r="D102" s="494">
        <v>7</v>
      </c>
      <c r="E102" s="68">
        <f t="shared" si="7"/>
        <v>0</v>
      </c>
      <c r="F102" s="577">
        <v>0</v>
      </c>
      <c r="G102" s="577">
        <v>0</v>
      </c>
      <c r="H102" s="577">
        <v>0</v>
      </c>
      <c r="I102" s="577">
        <v>0</v>
      </c>
      <c r="J102" s="577">
        <v>0</v>
      </c>
      <c r="K102" s="577">
        <v>0</v>
      </c>
      <c r="L102" s="577">
        <v>0</v>
      </c>
      <c r="M102" s="577">
        <v>0</v>
      </c>
      <c r="N102" s="577">
        <v>0</v>
      </c>
      <c r="O102" s="577">
        <v>0</v>
      </c>
      <c r="P102" s="577">
        <v>0</v>
      </c>
      <c r="Q102" s="577">
        <v>0</v>
      </c>
      <c r="R102" s="577">
        <v>0</v>
      </c>
      <c r="S102" s="577">
        <v>0</v>
      </c>
      <c r="T102" s="577">
        <v>0</v>
      </c>
      <c r="U102" s="577">
        <v>0</v>
      </c>
      <c r="V102" s="577">
        <v>0</v>
      </c>
      <c r="W102" s="577">
        <v>0</v>
      </c>
      <c r="X102" s="577">
        <v>0</v>
      </c>
      <c r="Y102" s="577">
        <v>0</v>
      </c>
      <c r="Z102" s="577">
        <v>0</v>
      </c>
    </row>
    <row r="103" spans="1:26" outlineLevel="1">
      <c r="A103" s="817"/>
      <c r="B103" s="818"/>
      <c r="C103" s="818"/>
      <c r="D103" s="494">
        <v>8</v>
      </c>
      <c r="E103" s="68">
        <f t="shared" si="7"/>
        <v>0</v>
      </c>
      <c r="F103" s="577">
        <v>0</v>
      </c>
      <c r="G103" s="577">
        <v>0</v>
      </c>
      <c r="H103" s="577">
        <v>0</v>
      </c>
      <c r="I103" s="577">
        <v>0</v>
      </c>
      <c r="J103" s="577">
        <v>0</v>
      </c>
      <c r="K103" s="577">
        <v>0</v>
      </c>
      <c r="L103" s="577">
        <v>0</v>
      </c>
      <c r="M103" s="577">
        <v>0</v>
      </c>
      <c r="N103" s="577">
        <v>0</v>
      </c>
      <c r="O103" s="577">
        <v>0</v>
      </c>
      <c r="P103" s="577">
        <v>0</v>
      </c>
      <c r="Q103" s="577">
        <v>0</v>
      </c>
      <c r="R103" s="577">
        <v>0</v>
      </c>
      <c r="S103" s="577">
        <v>0</v>
      </c>
      <c r="T103" s="577">
        <v>0</v>
      </c>
      <c r="U103" s="577">
        <v>0</v>
      </c>
      <c r="V103" s="577">
        <v>0</v>
      </c>
      <c r="W103" s="577">
        <v>0</v>
      </c>
      <c r="X103" s="577">
        <v>0</v>
      </c>
      <c r="Y103" s="577">
        <v>0</v>
      </c>
      <c r="Z103" s="577">
        <v>0</v>
      </c>
    </row>
    <row r="104" spans="1:26" outlineLevel="1">
      <c r="A104" s="817"/>
      <c r="B104" s="818"/>
      <c r="C104" s="818"/>
      <c r="D104" s="494">
        <v>9</v>
      </c>
      <c r="E104" s="68">
        <f t="shared" si="7"/>
        <v>0</v>
      </c>
      <c r="F104" s="577">
        <v>0</v>
      </c>
      <c r="G104" s="577">
        <v>0</v>
      </c>
      <c r="H104" s="577">
        <v>0</v>
      </c>
      <c r="I104" s="577">
        <v>0</v>
      </c>
      <c r="J104" s="577">
        <v>0</v>
      </c>
      <c r="K104" s="577">
        <v>0</v>
      </c>
      <c r="L104" s="577">
        <v>0</v>
      </c>
      <c r="M104" s="577">
        <v>0</v>
      </c>
      <c r="N104" s="577">
        <v>0</v>
      </c>
      <c r="O104" s="577">
        <v>0</v>
      </c>
      <c r="P104" s="577">
        <v>0</v>
      </c>
      <c r="Q104" s="577">
        <v>0</v>
      </c>
      <c r="R104" s="577">
        <v>0</v>
      </c>
      <c r="S104" s="577">
        <v>0</v>
      </c>
      <c r="T104" s="577">
        <v>0</v>
      </c>
      <c r="U104" s="577">
        <v>0</v>
      </c>
      <c r="V104" s="577">
        <v>0</v>
      </c>
      <c r="W104" s="577">
        <v>0</v>
      </c>
      <c r="X104" s="577">
        <v>0</v>
      </c>
      <c r="Y104" s="577">
        <v>0</v>
      </c>
      <c r="Z104" s="577">
        <v>0</v>
      </c>
    </row>
    <row r="105" spans="1:26" ht="15.75" outlineLevel="1" thickBot="1">
      <c r="A105" s="817"/>
      <c r="B105" s="818"/>
      <c r="C105" s="818"/>
      <c r="D105" s="495">
        <v>10</v>
      </c>
      <c r="E105" s="69">
        <f t="shared" si="7"/>
        <v>0</v>
      </c>
      <c r="F105" s="581">
        <v>0</v>
      </c>
      <c r="G105" s="581">
        <v>0</v>
      </c>
      <c r="H105" s="581">
        <v>0</v>
      </c>
      <c r="I105" s="581">
        <v>0</v>
      </c>
      <c r="J105" s="581">
        <v>0</v>
      </c>
      <c r="K105" s="581">
        <v>0</v>
      </c>
      <c r="L105" s="581">
        <v>0</v>
      </c>
      <c r="M105" s="581">
        <v>0</v>
      </c>
      <c r="N105" s="581">
        <v>0</v>
      </c>
      <c r="O105" s="581">
        <v>0</v>
      </c>
      <c r="P105" s="581">
        <v>0</v>
      </c>
      <c r="Q105" s="581">
        <v>0</v>
      </c>
      <c r="R105" s="581">
        <v>0</v>
      </c>
      <c r="S105" s="581">
        <v>0</v>
      </c>
      <c r="T105" s="581">
        <v>0</v>
      </c>
      <c r="U105" s="581">
        <v>0</v>
      </c>
      <c r="V105" s="581">
        <v>0</v>
      </c>
      <c r="W105" s="581">
        <v>0</v>
      </c>
      <c r="X105" s="581">
        <v>0</v>
      </c>
      <c r="Y105" s="581">
        <v>0</v>
      </c>
      <c r="Z105" s="581">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7">
    <tabColor rgb="FFFFFF00"/>
  </sheetPr>
  <dimension ref="A1:D14"/>
  <sheetViews>
    <sheetView zoomScale="138" zoomScaleNormal="80" workbookViewId="0">
      <pane ySplit="1" topLeftCell="A5" activePane="bottomLeft" state="frozen"/>
      <selection activeCell="H74" sqref="H74"/>
      <selection pane="bottomLeft" activeCell="D3" sqref="D3:D4"/>
    </sheetView>
  </sheetViews>
  <sheetFormatPr defaultColWidth="8.85546875" defaultRowHeight="15"/>
  <cols>
    <col min="1" max="1" width="32.28515625" style="4" customWidth="1"/>
    <col min="2" max="2" width="66.7109375" style="4" customWidth="1"/>
    <col min="3" max="3" width="14.28515625" style="6" customWidth="1"/>
    <col min="4" max="4" width="23.42578125" style="4" customWidth="1"/>
    <col min="5" max="16384" width="8.85546875" style="4"/>
  </cols>
  <sheetData>
    <row r="1" spans="1:4" ht="18" thickTop="1" thickBot="1">
      <c r="A1" s="1" t="s">
        <v>1491</v>
      </c>
      <c r="B1" s="2" t="s">
        <v>1531</v>
      </c>
      <c r="C1" s="5" t="s">
        <v>208</v>
      </c>
      <c r="D1" s="3" t="s">
        <v>277</v>
      </c>
    </row>
    <row r="2" spans="1:4" ht="150" thickTop="1" thickBot="1">
      <c r="A2" s="666" t="s">
        <v>1532</v>
      </c>
      <c r="B2" s="322" t="s">
        <v>1533</v>
      </c>
      <c r="C2" s="323" t="s">
        <v>1534</v>
      </c>
      <c r="D2" s="148">
        <v>10</v>
      </c>
    </row>
    <row r="3" spans="1:4" ht="41.45" customHeight="1">
      <c r="A3" s="842" t="s">
        <v>1535</v>
      </c>
      <c r="B3" s="853" t="s">
        <v>1536</v>
      </c>
      <c r="C3" s="855" t="s">
        <v>1537</v>
      </c>
      <c r="D3" s="844">
        <v>0.04</v>
      </c>
    </row>
    <row r="4" spans="1:4" ht="44.45" customHeight="1" thickBot="1">
      <c r="A4" s="843"/>
      <c r="B4" s="854"/>
      <c r="C4" s="856"/>
      <c r="D4" s="845"/>
    </row>
    <row r="5" spans="1:4" ht="49.5">
      <c r="A5" s="842" t="s">
        <v>1538</v>
      </c>
      <c r="B5" s="324" t="s">
        <v>1539</v>
      </c>
      <c r="C5" s="855" t="s">
        <v>1537</v>
      </c>
      <c r="D5" s="846">
        <v>0.05</v>
      </c>
    </row>
    <row r="6" spans="1:4" ht="50.25" thickBot="1">
      <c r="A6" s="843"/>
      <c r="B6" s="322" t="s">
        <v>1540</v>
      </c>
      <c r="C6" s="856"/>
      <c r="D6" s="847"/>
    </row>
    <row r="7" spans="1:4" ht="33.75" thickBot="1">
      <c r="A7" s="325" t="s">
        <v>1541</v>
      </c>
      <c r="B7" s="326" t="s">
        <v>1542</v>
      </c>
      <c r="C7" s="327" t="s">
        <v>213</v>
      </c>
      <c r="D7" s="589">
        <v>1984</v>
      </c>
    </row>
    <row r="8" spans="1:4" ht="15" customHeight="1">
      <c r="A8" s="848" t="s">
        <v>1543</v>
      </c>
      <c r="B8" s="838" t="s">
        <v>1544</v>
      </c>
      <c r="C8" s="857" t="s">
        <v>1545</v>
      </c>
      <c r="D8" s="850">
        <f>$D$7*1.352/(D12/12)</f>
        <v>16.380873282442749</v>
      </c>
    </row>
    <row r="9" spans="1:4" ht="15.75" thickBot="1">
      <c r="A9" s="849"/>
      <c r="B9" s="852"/>
      <c r="C9" s="858"/>
      <c r="D9" s="851"/>
    </row>
    <row r="10" spans="1:4">
      <c r="A10" s="836" t="s">
        <v>1546</v>
      </c>
      <c r="B10" s="838" t="s">
        <v>1547</v>
      </c>
      <c r="C10" s="834" t="s">
        <v>1545</v>
      </c>
      <c r="D10" s="840">
        <v>9.2750000000000004</v>
      </c>
    </row>
    <row r="11" spans="1:4" ht="20.25" customHeight="1" thickBot="1">
      <c r="A11" s="837"/>
      <c r="B11" s="839"/>
      <c r="C11" s="835"/>
      <c r="D11" s="841"/>
    </row>
    <row r="12" spans="1:4" ht="72" customHeight="1" thickBot="1">
      <c r="A12" s="328" t="s">
        <v>1548</v>
      </c>
      <c r="B12" s="326" t="s">
        <v>1549</v>
      </c>
      <c r="C12" s="329" t="s">
        <v>1550</v>
      </c>
      <c r="D12" s="590">
        <v>1965</v>
      </c>
    </row>
    <row r="13" spans="1:4" ht="72" customHeight="1" thickBot="1">
      <c r="A13" s="328" t="s">
        <v>1551</v>
      </c>
      <c r="B13" s="326" t="s">
        <v>1552</v>
      </c>
      <c r="C13" s="329" t="s">
        <v>1550</v>
      </c>
      <c r="D13" s="591">
        <v>2096</v>
      </c>
    </row>
    <row r="14" spans="1:4" ht="21" customHeight="1" thickBot="1">
      <c r="A14" s="328" t="s">
        <v>164</v>
      </c>
      <c r="B14" s="328" t="s">
        <v>1553</v>
      </c>
      <c r="C14" s="329" t="s">
        <v>1534</v>
      </c>
      <c r="D14" s="592">
        <v>2024</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1"/>
  <dimension ref="A1:A9"/>
  <sheetViews>
    <sheetView workbookViewId="0">
      <selection activeCell="A2" sqref="A2:A9"/>
    </sheetView>
  </sheetViews>
  <sheetFormatPr defaultColWidth="8.85546875" defaultRowHeight="15"/>
  <cols>
    <col min="1" max="1" width="37.42578125" bestFit="1" customWidth="1"/>
  </cols>
  <sheetData>
    <row r="1" spans="1:1">
      <c r="A1" t="s">
        <v>1554</v>
      </c>
    </row>
    <row r="2" spans="1:1">
      <c r="A2" t="s">
        <v>1308</v>
      </c>
    </row>
    <row r="3" spans="1:1">
      <c r="A3" t="s">
        <v>1307</v>
      </c>
    </row>
    <row r="4" spans="1:1">
      <c r="A4" t="s">
        <v>1555</v>
      </c>
    </row>
    <row r="5" spans="1:1">
      <c r="A5" t="s">
        <v>1309</v>
      </c>
    </row>
    <row r="6" spans="1:1">
      <c r="A6" t="s">
        <v>1556</v>
      </c>
    </row>
    <row r="7" spans="1:1">
      <c r="A7" t="s">
        <v>1310</v>
      </c>
    </row>
    <row r="8" spans="1:1">
      <c r="A8" t="s">
        <v>1311</v>
      </c>
    </row>
    <row r="9" spans="1:1">
      <c r="A9" t="s">
        <v>951</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9"/>
  <dimension ref="A1:T3"/>
  <sheetViews>
    <sheetView view="pageBreakPreview" topLeftCell="D1" zoomScale="60" zoomScaleNormal="60" workbookViewId="0">
      <selection activeCell="S17" sqref="S17"/>
    </sheetView>
  </sheetViews>
  <sheetFormatPr defaultColWidth="8.85546875" defaultRowHeight="15"/>
  <sheetData>
    <row r="1" spans="1:20">
      <c r="A1" t="s">
        <v>1557</v>
      </c>
      <c r="D1" s="195"/>
      <c r="E1" s="195"/>
      <c r="F1" s="195"/>
      <c r="G1" s="195"/>
      <c r="H1" s="195"/>
      <c r="I1" s="195"/>
      <c r="J1" s="195"/>
      <c r="K1" s="195"/>
      <c r="L1" s="195"/>
      <c r="M1" s="195"/>
      <c r="N1" s="195"/>
      <c r="O1" s="195"/>
      <c r="P1" s="195"/>
      <c r="Q1" s="195"/>
      <c r="R1" s="195"/>
      <c r="S1" s="195"/>
      <c r="T1" s="195"/>
    </row>
    <row r="2" spans="1:20">
      <c r="A2" t="s">
        <v>1558</v>
      </c>
      <c r="D2" s="195"/>
      <c r="E2" s="195"/>
      <c r="F2" s="195"/>
      <c r="G2" s="195"/>
      <c r="H2" s="195"/>
      <c r="I2" s="195"/>
      <c r="J2" s="195"/>
      <c r="K2" s="195"/>
      <c r="L2" s="195"/>
      <c r="M2" s="195"/>
      <c r="N2" s="195"/>
      <c r="O2" s="195"/>
      <c r="P2" s="195"/>
      <c r="Q2" s="195"/>
      <c r="R2" s="195"/>
      <c r="S2" s="195"/>
      <c r="T2" s="195"/>
    </row>
    <row r="3" spans="1:20">
      <c r="A3" s="196" t="s">
        <v>161</v>
      </c>
      <c r="D3" s="195"/>
      <c r="E3" s="195"/>
      <c r="F3" s="195"/>
      <c r="G3" s="195"/>
      <c r="H3" s="195"/>
      <c r="I3" s="195"/>
      <c r="J3" s="195"/>
      <c r="K3" s="195"/>
      <c r="L3" s="195"/>
      <c r="M3" s="195"/>
      <c r="N3" s="195"/>
      <c r="O3" s="195"/>
      <c r="P3" s="195"/>
      <c r="Q3" s="195"/>
      <c r="R3" s="195"/>
      <c r="S3" s="195"/>
      <c r="T3" s="197" t="s">
        <v>162</v>
      </c>
    </row>
  </sheetData>
  <pageMargins left="0.7" right="0.7" top="0.75" bottom="0.75" header="0.3" footer="0.3"/>
  <pageSetup paperSize="9" scale="33" orientation="portrait" r:id="rId1"/>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115" zoomScaleNormal="115" workbookViewId="0">
      <pane ySplit="3" topLeftCell="A4" activePane="bottomLeft" state="frozen"/>
      <selection pane="bottomLeft" activeCell="E27" sqref="E27"/>
    </sheetView>
  </sheetViews>
  <sheetFormatPr defaultColWidth="9.140625" defaultRowHeight="15"/>
  <cols>
    <col min="3" max="3" width="32.42578125" bestFit="1" customWidth="1"/>
    <col min="4" max="4" width="14.7109375" bestFit="1" customWidth="1"/>
    <col min="5" max="10" width="13.7109375" customWidth="1"/>
    <col min="11" max="11" width="14.7109375" bestFit="1" customWidth="1"/>
    <col min="12" max="25" width="13.7109375" customWidth="1"/>
    <col min="31" max="31" width="32" customWidth="1"/>
    <col min="32" max="32" width="17.42578125" bestFit="1" customWidth="1"/>
    <col min="33" max="37" width="16.42578125" customWidth="1"/>
    <col min="38" max="53" width="13" customWidth="1"/>
  </cols>
  <sheetData>
    <row r="1" spans="1:53" ht="21.75" customHeight="1">
      <c r="A1" s="465" t="s">
        <v>95</v>
      </c>
      <c r="B1" s="465"/>
      <c r="C1" s="465"/>
      <c r="D1" s="465"/>
      <c r="E1" s="465"/>
      <c r="F1" s="465"/>
      <c r="G1" s="465"/>
      <c r="H1" s="465"/>
      <c r="I1" s="465"/>
      <c r="J1" s="465"/>
      <c r="K1" s="465"/>
      <c r="L1" s="465"/>
      <c r="M1" s="465"/>
      <c r="N1" s="465"/>
      <c r="O1" s="465"/>
      <c r="P1" s="465"/>
      <c r="Q1" s="465"/>
      <c r="R1" s="465"/>
      <c r="S1" s="465"/>
      <c r="T1" s="465"/>
      <c r="U1" s="465"/>
      <c r="V1" s="465"/>
      <c r="W1" s="465"/>
      <c r="X1" s="465"/>
      <c r="Y1" s="465"/>
      <c r="AC1" s="465" t="s">
        <v>96</v>
      </c>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row>
    <row r="2" spans="1:53" ht="60">
      <c r="A2" s="705"/>
      <c r="B2" s="705"/>
      <c r="C2" s="705"/>
      <c r="D2" s="450" t="s">
        <v>97</v>
      </c>
      <c r="E2" s="464" t="str">
        <f>MODULY_CBA!$B3</f>
        <v>Adaptér core banking služieb</v>
      </c>
      <c r="F2" s="464" t="str">
        <f>MODULY_CBA!$B4</f>
        <v>Autentifikačný modul</v>
      </c>
      <c r="G2" s="464" t="str">
        <f>MODULY_CBA!$B5</f>
        <v>Mobilná aplikácia - autentifikácia</v>
      </c>
      <c r="H2" s="464" t="str">
        <f>MODULY_CBA!$B6</f>
        <v>KYC</v>
      </c>
      <c r="I2" s="464" t="str">
        <f>MODULY_CBA!$B7</f>
        <v>Webový portál ŠP</v>
      </c>
      <c r="J2" s="464" t="str">
        <f>MODULY_CBA!$B8</f>
        <v>OpenAPI</v>
      </c>
      <c r="K2" s="464" t="str">
        <f>MODULY_CBA!$B9</f>
        <v>Modul platobných funkcionalít</v>
      </c>
      <c r="L2" s="464" t="str">
        <f>MODULY_CBA!$B10</f>
        <v>Modul všeobecných funkcionalít</v>
      </c>
      <c r="M2" s="464" t="str">
        <f>MODULY_CBA!$B11</f>
        <v>Mobilná aplikácia - autorizácia a notifikácie</v>
      </c>
      <c r="N2" s="464" t="str">
        <f>MODULY_CBA!$B12</f>
        <v>Modul rozpočtových funkcionalít</v>
      </c>
      <c r="O2" s="464" t="str">
        <f>MODULY_CBA!$B13</f>
        <v>Migrácia do RPC</v>
      </c>
      <c r="P2" s="464">
        <f>MODULY_CBA!$B14</f>
        <v>0</v>
      </c>
      <c r="Q2" s="464">
        <f>MODULY_CBA!$B15</f>
        <v>0</v>
      </c>
      <c r="R2" s="464">
        <f>MODULY_CBA!$B16</f>
        <v>0</v>
      </c>
      <c r="S2" s="464">
        <f>MODULY_CBA!$B17</f>
        <v>0</v>
      </c>
      <c r="T2" s="464">
        <f>MODULY_CBA!$B18</f>
        <v>0</v>
      </c>
      <c r="U2" s="464">
        <f>MODULY_CBA!$B19</f>
        <v>0</v>
      </c>
      <c r="V2" s="464">
        <f>MODULY_CBA!$B20</f>
        <v>0</v>
      </c>
      <c r="W2" s="464">
        <f>MODULY_CBA!$B21</f>
        <v>0</v>
      </c>
      <c r="X2" s="464">
        <f>MODULY_CBA!$B22</f>
        <v>0</v>
      </c>
      <c r="Y2" s="464">
        <f>MODULY_CBA!$B23</f>
        <v>0</v>
      </c>
      <c r="AC2" s="705"/>
      <c r="AD2" s="705"/>
      <c r="AE2" s="705"/>
      <c r="AF2" s="450" t="s">
        <v>97</v>
      </c>
      <c r="AG2" s="464" t="str">
        <f>MODULY_CBA!$B3</f>
        <v>Adaptér core banking služieb</v>
      </c>
      <c r="AH2" s="464" t="str">
        <f>MODULY_CBA!$B4</f>
        <v>Autentifikačný modul</v>
      </c>
      <c r="AI2" s="464" t="str">
        <f>MODULY_CBA!$B5</f>
        <v>Mobilná aplikácia - autentifikácia</v>
      </c>
      <c r="AJ2" s="464" t="str">
        <f>MODULY_CBA!$B6</f>
        <v>KYC</v>
      </c>
      <c r="AK2" s="464" t="str">
        <f>MODULY_CBA!$B7</f>
        <v>Webový portál ŠP</v>
      </c>
      <c r="AL2" s="464" t="str">
        <f>MODULY_CBA!$B8</f>
        <v>OpenAPI</v>
      </c>
      <c r="AM2" s="464" t="str">
        <f>MODULY_CBA!$B9</f>
        <v>Modul platobných funkcionalít</v>
      </c>
      <c r="AN2" s="464" t="str">
        <f>MODULY_CBA!$B10</f>
        <v>Modul všeobecných funkcionalít</v>
      </c>
      <c r="AO2" s="464" t="str">
        <f>MODULY_CBA!$B11</f>
        <v>Mobilná aplikácia - autorizácia a notifikácie</v>
      </c>
      <c r="AP2" s="464" t="str">
        <f>MODULY_CBA!$B12</f>
        <v>Modul rozpočtových funkcionalít</v>
      </c>
      <c r="AQ2" s="464" t="str">
        <f>MODULY_CBA!$B13</f>
        <v>Migrácia do RPC</v>
      </c>
      <c r="AR2" s="464">
        <f>MODULY_CBA!$B14</f>
        <v>0</v>
      </c>
      <c r="AS2" s="464">
        <f>MODULY_CBA!$B15</f>
        <v>0</v>
      </c>
      <c r="AT2" s="464">
        <f>MODULY_CBA!$B16</f>
        <v>0</v>
      </c>
      <c r="AU2" s="464">
        <f>MODULY_CBA!$B17</f>
        <v>0</v>
      </c>
      <c r="AV2" s="464">
        <f>MODULY_CBA!$B18</f>
        <v>0</v>
      </c>
      <c r="AW2" s="464">
        <f>MODULY_CBA!$B19</f>
        <v>0</v>
      </c>
      <c r="AX2" s="464">
        <f>MODULY_CBA!$B20</f>
        <v>0</v>
      </c>
      <c r="AY2" s="464">
        <f>MODULY_CBA!$B21</f>
        <v>0</v>
      </c>
      <c r="AZ2" s="464">
        <f>MODULY_CBA!$B22</f>
        <v>0</v>
      </c>
      <c r="BA2" s="464">
        <f>MODULY_CBA!$B23</f>
        <v>0</v>
      </c>
    </row>
    <row r="3" spans="1:53">
      <c r="A3" s="451" t="s">
        <v>98</v>
      </c>
      <c r="B3" s="451"/>
      <c r="C3" s="451"/>
      <c r="D3" s="452">
        <f>SUM(E3:Y3)</f>
        <v>68116762.355664596</v>
      </c>
      <c r="E3" s="452">
        <f>E4+E5+E9+E13+E14</f>
        <v>14592537.844332296</v>
      </c>
      <c r="F3" s="452">
        <f t="shared" ref="F3:Y3" si="0">F4+F5+F9+F13+F14</f>
        <v>1031377.9039834797</v>
      </c>
      <c r="G3" s="452">
        <f t="shared" si="0"/>
        <v>1007052.9534178316</v>
      </c>
      <c r="H3" s="452">
        <f t="shared" si="0"/>
        <v>603258.77402807295</v>
      </c>
      <c r="I3" s="452">
        <f t="shared" si="0"/>
        <v>1007052.9534178316</v>
      </c>
      <c r="J3" s="452">
        <f t="shared" si="0"/>
        <v>201897.08969487922</v>
      </c>
      <c r="K3" s="452">
        <f t="shared" si="0"/>
        <v>21424569.181249421</v>
      </c>
      <c r="L3" s="452">
        <f t="shared" si="0"/>
        <v>4298318.1548200091</v>
      </c>
      <c r="M3" s="452">
        <f t="shared" si="0"/>
        <v>2126818.5464597968</v>
      </c>
      <c r="N3" s="452">
        <f t="shared" si="0"/>
        <v>17450188.725207429</v>
      </c>
      <c r="O3" s="452">
        <f t="shared" si="0"/>
        <v>4373690.2290535467</v>
      </c>
      <c r="P3" s="452">
        <f t="shared" si="0"/>
        <v>0</v>
      </c>
      <c r="Q3" s="452">
        <f t="shared" si="0"/>
        <v>0</v>
      </c>
      <c r="R3" s="452">
        <f t="shared" si="0"/>
        <v>0</v>
      </c>
      <c r="S3" s="452">
        <f t="shared" si="0"/>
        <v>0</v>
      </c>
      <c r="T3" s="452">
        <f t="shared" si="0"/>
        <v>0</v>
      </c>
      <c r="U3" s="452">
        <f t="shared" si="0"/>
        <v>0</v>
      </c>
      <c r="V3" s="452">
        <f t="shared" si="0"/>
        <v>0</v>
      </c>
      <c r="W3" s="452">
        <f t="shared" si="0"/>
        <v>0</v>
      </c>
      <c r="X3" s="452">
        <f t="shared" si="0"/>
        <v>0</v>
      </c>
      <c r="Y3" s="452">
        <f t="shared" si="0"/>
        <v>0</v>
      </c>
      <c r="AC3" s="451" t="s">
        <v>98</v>
      </c>
      <c r="AD3" s="451"/>
      <c r="AE3" s="451"/>
      <c r="AF3" s="452">
        <f>SUM(AG3:BA3)</f>
        <v>56199100.482138529</v>
      </c>
      <c r="AG3" s="452">
        <f>AG4+AG5+AG9+AG13+AG14</f>
        <v>12155863.467521222</v>
      </c>
      <c r="AH3" s="452">
        <f>AH4+AH5+AH9+AH13+AH14</f>
        <v>859157.54462893785</v>
      </c>
      <c r="AI3" s="452">
        <f>AI4+AI5+AI9+AI13+AI14</f>
        <v>838894.39499146293</v>
      </c>
      <c r="AJ3" s="452">
        <f>AJ4+AJ5+AJ9+AJ13+AJ14</f>
        <v>502526.1110093788</v>
      </c>
      <c r="AK3" s="452">
        <f>AK5+AK9+AK13+AK14</f>
        <v>838894.39499146293</v>
      </c>
      <c r="AL3" s="452">
        <f>AL4+AL5+AL9+AL13+AL14</f>
        <v>168184.1419910421</v>
      </c>
      <c r="AM3" s="452">
        <f>AM4+AM5+AM9+AM13+AM14</f>
        <v>17342838.946298767</v>
      </c>
      <c r="AN3" s="452">
        <f>AN4+AN5+AN9+AN13+AN14</f>
        <v>3479418.3662855919</v>
      </c>
      <c r="AO3" s="452">
        <f>AO5+AO9+AO13+AO14</f>
        <v>1721624.8880997316</v>
      </c>
      <c r="AP3" s="452">
        <f>AP4+AP5+AP9+AP13+AP14</f>
        <v>14125642.858137606</v>
      </c>
      <c r="AQ3" s="452">
        <f>AQ4+AQ5+AQ9+AQ13+AQ14</f>
        <v>4166055.3681833288</v>
      </c>
      <c r="AR3" s="452">
        <f>AR4+AR5+AR9+AR13+AR14</f>
        <v>0</v>
      </c>
      <c r="AS3" s="452">
        <f>AS5+AS9+AS13+AS14</f>
        <v>0</v>
      </c>
      <c r="AT3" s="452">
        <f>AT4+AT5+AT9+AT13+AT14</f>
        <v>0</v>
      </c>
      <c r="AU3" s="452">
        <f>AU4+AU5+AU9+AU13+AU14</f>
        <v>0</v>
      </c>
      <c r="AV3" s="452">
        <f>AV4+AV5+AV9+AV13+AV14</f>
        <v>0</v>
      </c>
      <c r="AW3" s="452">
        <f>AW5+AW9+AW13+AW14</f>
        <v>0</v>
      </c>
      <c r="AX3" s="452">
        <f>AX4+AX5+AX9+AX13+AX14</f>
        <v>0</v>
      </c>
      <c r="AY3" s="452">
        <f>AY4+AY5+AY9+AY13+AY14</f>
        <v>0</v>
      </c>
      <c r="AZ3" s="452">
        <f>AZ4+AZ5+AZ9+AZ13+AZ14</f>
        <v>0</v>
      </c>
      <c r="BA3" s="452">
        <f>BA5+BA9+BA13+BA14</f>
        <v>0</v>
      </c>
    </row>
    <row r="4" spans="1:53">
      <c r="A4" s="453"/>
      <c r="B4" s="454" t="s">
        <v>99</v>
      </c>
      <c r="C4" s="454"/>
      <c r="D4" s="455">
        <f>SUM(E4:Y4)</f>
        <v>0</v>
      </c>
      <c r="E4" s="455">
        <f>SUM('Parametre - Agendové IS'!I106:I115)</f>
        <v>0</v>
      </c>
      <c r="F4" s="455">
        <f>SUM('Parametre - Agendové IS'!J106:J115)</f>
        <v>0</v>
      </c>
      <c r="G4" s="455">
        <f>SUM('Parametre - Agendové IS'!K106:K115)</f>
        <v>0</v>
      </c>
      <c r="H4" s="455">
        <f>SUM('Parametre - Agendové IS'!L106:L115)</f>
        <v>0</v>
      </c>
      <c r="I4" s="455">
        <f>SUM('Parametre - Agendové IS'!M106:M115)</f>
        <v>0</v>
      </c>
      <c r="J4" s="455">
        <f>SUM('Parametre - Agendové IS'!N106:N115)</f>
        <v>0</v>
      </c>
      <c r="K4" s="455">
        <f>SUM('Parametre - Agendové IS'!O106:O115)</f>
        <v>0</v>
      </c>
      <c r="L4" s="455">
        <f>SUM('Parametre - Agendové IS'!P106:P115)</f>
        <v>0</v>
      </c>
      <c r="M4" s="455">
        <f>SUM('Parametre - Agendové IS'!Q106:Q115)</f>
        <v>0</v>
      </c>
      <c r="N4" s="455">
        <f>SUM('Parametre - Agendové IS'!R106:R115)</f>
        <v>0</v>
      </c>
      <c r="O4" s="455">
        <f>SUM('Parametre - Agendové IS'!S106:S115)</f>
        <v>0</v>
      </c>
      <c r="P4" s="455">
        <f>SUM('Parametre - Agendové IS'!T106:T115)</f>
        <v>0</v>
      </c>
      <c r="Q4" s="455">
        <f>SUM('Parametre - Agendové IS'!U106:U115)</f>
        <v>0</v>
      </c>
      <c r="R4" s="455">
        <f>SUM('Parametre - Agendové IS'!V106:V115)</f>
        <v>0</v>
      </c>
      <c r="S4" s="455">
        <f>SUM('Parametre - Agendové IS'!W106:W115)</f>
        <v>0</v>
      </c>
      <c r="T4" s="455">
        <f>SUM('Parametre - Agendové IS'!X106:X115)</f>
        <v>0</v>
      </c>
      <c r="U4" s="455">
        <f>SUM('Parametre - Agendové IS'!Y106:Y115)</f>
        <v>0</v>
      </c>
      <c r="V4" s="455">
        <f>SUM('Parametre - Agendové IS'!Z106:Z115)</f>
        <v>0</v>
      </c>
      <c r="W4" s="455">
        <f>SUM('Parametre - Agendové IS'!AA106:AA115)</f>
        <v>0</v>
      </c>
      <c r="X4" s="455">
        <f>SUM('Parametre - Agendové IS'!AB106:AB115)</f>
        <v>0</v>
      </c>
      <c r="Y4" s="455">
        <f>SUM('Parametre - Agendové IS'!AC106:AC115)</f>
        <v>0</v>
      </c>
      <c r="AC4" s="453"/>
      <c r="AD4" s="454" t="s">
        <v>99</v>
      </c>
      <c r="AE4" s="454"/>
      <c r="AF4" s="455">
        <f>SUM(AG4:BA4)</f>
        <v>0</v>
      </c>
      <c r="AG4" s="455">
        <f>'Parametre - Agendové IS'!I106+NPV(Faktory!$D$5,'Parametre - Agendové IS'!I107:I115)</f>
        <v>0</v>
      </c>
      <c r="AH4" s="455">
        <f>'Parametre - Agendové IS'!J106+NPV(Faktory!$D$5,'Parametre - Agendové IS'!J107:J115)</f>
        <v>0</v>
      </c>
      <c r="AI4" s="455">
        <f>'Parametre - Agendové IS'!K106+NPV(Faktory!$D$5,'Parametre - Agendové IS'!K107:K115)</f>
        <v>0</v>
      </c>
      <c r="AJ4" s="455">
        <f>'Parametre - Agendové IS'!L106+NPV(Faktory!$D$5,'Parametre - Agendové IS'!L107:L115)</f>
        <v>0</v>
      </c>
      <c r="AK4" s="455">
        <f>'Parametre - Agendové IS'!M106+NPV(Faktory!$D$5,'Parametre - Agendové IS'!M107:M115)</f>
        <v>0</v>
      </c>
      <c r="AL4" s="455">
        <f>'Parametre - Agendové IS'!N106+NPV(Faktory!$D$5,'Parametre - Agendové IS'!N107:N115)</f>
        <v>0</v>
      </c>
      <c r="AM4" s="455">
        <f>'Parametre - Agendové IS'!O106+NPV(Faktory!$D$5,'Parametre - Agendové IS'!O107:O115)</f>
        <v>0</v>
      </c>
      <c r="AN4" s="455">
        <f>'Parametre - Agendové IS'!P106+NPV(Faktory!$D$5,'Parametre - Agendové IS'!P107:P115)</f>
        <v>0</v>
      </c>
      <c r="AO4" s="455">
        <f>'Parametre - Agendové IS'!Q106+NPV(Faktory!$D$5,'Parametre - Agendové IS'!Q107:Q115)</f>
        <v>0</v>
      </c>
      <c r="AP4" s="455">
        <f>'Parametre - Agendové IS'!R106+NPV(Faktory!$D$5,'Parametre - Agendové IS'!R107:R115)</f>
        <v>0</v>
      </c>
      <c r="AQ4" s="455">
        <f>'Parametre - Agendové IS'!S106+NPV(Faktory!$D$5,'Parametre - Agendové IS'!S107:S115)</f>
        <v>0</v>
      </c>
      <c r="AR4" s="455">
        <f>'Parametre - Agendové IS'!T106+NPV(Faktory!$D$5,'Parametre - Agendové IS'!T107:T115)</f>
        <v>0</v>
      </c>
      <c r="AS4" s="455">
        <f>'Parametre - Agendové IS'!U106+NPV(Faktory!$D$5,'Parametre - Agendové IS'!U107:U115)</f>
        <v>0</v>
      </c>
      <c r="AT4" s="455">
        <f>'Parametre - Agendové IS'!V106+NPV(Faktory!$D$5,'Parametre - Agendové IS'!V107:V115)</f>
        <v>0</v>
      </c>
      <c r="AU4" s="455">
        <f>'Parametre - Agendové IS'!W106+NPV(Faktory!$D$5,'Parametre - Agendové IS'!W107:W115)</f>
        <v>0</v>
      </c>
      <c r="AV4" s="455">
        <f>'Parametre - Agendové IS'!X106+NPV(Faktory!$D$5,'Parametre - Agendové IS'!X107:X115)</f>
        <v>0</v>
      </c>
      <c r="AW4" s="455">
        <f>'Parametre - Agendové IS'!Y106+NPV(Faktory!$D$5,'Parametre - Agendové IS'!Y107:Y115)</f>
        <v>0</v>
      </c>
      <c r="AX4" s="455">
        <f>'Parametre - Agendové IS'!Z106+NPV(Faktory!$D$5,'Parametre - Agendové IS'!Z107:Z115)</f>
        <v>0</v>
      </c>
      <c r="AY4" s="455">
        <f>'Parametre - Agendové IS'!AA106+NPV(Faktory!$D$5,'Parametre - Agendové IS'!AA107:AA115)</f>
        <v>0</v>
      </c>
      <c r="AZ4" s="455">
        <f>'Parametre - Agendové IS'!AB106+NPV(Faktory!$D$5,'Parametre - Agendové IS'!AB107:AB115)</f>
        <v>0</v>
      </c>
      <c r="BA4" s="455">
        <f>'Parametre - Agendové IS'!AC106+NPV(Faktory!$D$5,'Parametre - Agendové IS'!AC107:AC115)</f>
        <v>0</v>
      </c>
    </row>
    <row r="5" spans="1:53">
      <c r="A5" s="453"/>
      <c r="B5" s="454" t="s">
        <v>100</v>
      </c>
      <c r="C5" s="454"/>
      <c r="D5" s="455">
        <f>SUM(E5:Y5)</f>
        <v>45763437.821808338</v>
      </c>
      <c r="E5" s="455">
        <f>SUM(E6:E8)</f>
        <v>9523626.6184204016</v>
      </c>
      <c r="F5" s="455">
        <f>SUM(F6:F8)</f>
        <v>673115.13355730136</v>
      </c>
      <c r="G5" s="455">
        <f>SUM(G6:G8)</f>
        <v>657239.77663377998</v>
      </c>
      <c r="H5" s="455">
        <f>SUM(H6:H8)</f>
        <v>393708.85170332715</v>
      </c>
      <c r="I5" s="455">
        <f>SUM(I6:I8)</f>
        <v>657239.77663377998</v>
      </c>
      <c r="J5" s="455">
        <f>SUM(J6+J7)</f>
        <v>131765.46246522639</v>
      </c>
      <c r="K5" s="455">
        <f>SUM(K6:K8)</f>
        <v>14137005.340395678</v>
      </c>
      <c r="L5" s="455">
        <f>SUM(L6:L8)</f>
        <v>2836245.9097936689</v>
      </c>
      <c r="M5" s="455">
        <f>SUM(M6:M8)</f>
        <v>1403381.5520392791</v>
      </c>
      <c r="N5" s="455">
        <f>SUM(N6+N7)</f>
        <v>11514509.772036564</v>
      </c>
      <c r="O5" s="455">
        <f>SUM(O6:O8)</f>
        <v>3835599.6281293319</v>
      </c>
      <c r="P5" s="455">
        <f>SUM(P6:P8)</f>
        <v>0</v>
      </c>
      <c r="Q5" s="455">
        <f>SUM(Q6:Q8)</f>
        <v>0</v>
      </c>
      <c r="R5" s="455">
        <f>SUM(R6+R7)</f>
        <v>0</v>
      </c>
      <c r="S5" s="455">
        <f>SUM(S6:S8)</f>
        <v>0</v>
      </c>
      <c r="T5" s="455">
        <f>SUM(T6:T8)</f>
        <v>0</v>
      </c>
      <c r="U5" s="455">
        <f>SUM(U6:U8)</f>
        <v>0</v>
      </c>
      <c r="V5" s="455">
        <f>SUM(V6+V7)</f>
        <v>0</v>
      </c>
      <c r="W5" s="455">
        <f>SUM(W6:W8)</f>
        <v>0</v>
      </c>
      <c r="X5" s="455">
        <f>SUM(X6:X8)</f>
        <v>0</v>
      </c>
      <c r="Y5" s="455">
        <f>SUM(Y6:Y8)</f>
        <v>0</v>
      </c>
      <c r="AC5" s="453"/>
      <c r="AD5" s="454" t="s">
        <v>100</v>
      </c>
      <c r="AE5" s="454"/>
      <c r="AF5" s="455">
        <f>SUM(AG5:BA5)</f>
        <v>38439183.920717292</v>
      </c>
      <c r="AG5" s="455">
        <f>SUM(AG6:AG8)</f>
        <v>8074488.7610005885</v>
      </c>
      <c r="AH5" s="455">
        <f t="shared" ref="AH5:BA5" si="1">SUM(AH6:AH8)</f>
        <v>570692.32116423559</v>
      </c>
      <c r="AI5" s="455">
        <f t="shared" si="1"/>
        <v>557232.59660847532</v>
      </c>
      <c r="AJ5" s="455">
        <f t="shared" si="1"/>
        <v>333801.16898285481</v>
      </c>
      <c r="AK5" s="455">
        <f t="shared" si="1"/>
        <v>557232.59660847532</v>
      </c>
      <c r="AL5" s="455">
        <f t="shared" si="1"/>
        <v>111715.71381281028</v>
      </c>
      <c r="AM5" s="455">
        <f t="shared" si="1"/>
        <v>11625607.790888328</v>
      </c>
      <c r="AN5" s="455">
        <f t="shared" si="1"/>
        <v>2332395.1396943843</v>
      </c>
      <c r="AO5" s="455">
        <f t="shared" si="1"/>
        <v>1154074.9339859947</v>
      </c>
      <c r="AP5" s="455">
        <f t="shared" si="1"/>
        <v>9468990.8711813055</v>
      </c>
      <c r="AQ5" s="455">
        <f t="shared" si="1"/>
        <v>3652952.0267898398</v>
      </c>
      <c r="AR5" s="455">
        <f t="shared" si="1"/>
        <v>0</v>
      </c>
      <c r="AS5" s="455">
        <f t="shared" si="1"/>
        <v>0</v>
      </c>
      <c r="AT5" s="455">
        <f t="shared" si="1"/>
        <v>0</v>
      </c>
      <c r="AU5" s="455">
        <f t="shared" si="1"/>
        <v>0</v>
      </c>
      <c r="AV5" s="455">
        <f t="shared" si="1"/>
        <v>0</v>
      </c>
      <c r="AW5" s="455">
        <f t="shared" si="1"/>
        <v>0</v>
      </c>
      <c r="AX5" s="455">
        <f t="shared" si="1"/>
        <v>0</v>
      </c>
      <c r="AY5" s="455">
        <f t="shared" si="1"/>
        <v>0</v>
      </c>
      <c r="AZ5" s="455">
        <f t="shared" si="1"/>
        <v>0</v>
      </c>
      <c r="BA5" s="455">
        <f t="shared" si="1"/>
        <v>0</v>
      </c>
    </row>
    <row r="6" spans="1:53">
      <c r="A6" s="456"/>
      <c r="B6" s="456"/>
      <c r="C6" s="457" t="s">
        <v>101</v>
      </c>
      <c r="D6" s="468">
        <f>SUM(E6:Y6)</f>
        <v>45763437.821808338</v>
      </c>
      <c r="E6" s="468">
        <f>SUM('TCO TO BE- SW'!F37:F46)+SUM('TCO TO BE- SW'!F120:F129)</f>
        <v>9523626.6184204016</v>
      </c>
      <c r="F6" s="468">
        <f>SUM('TCO TO BE- SW'!G37:G46)+SUM('TCO TO BE- SW'!G120:G129)</f>
        <v>673115.13355730136</v>
      </c>
      <c r="G6" s="468">
        <f>SUM('TCO TO BE- SW'!H37:H46)+SUM('TCO TO BE- SW'!H120:H129)</f>
        <v>657239.77663377998</v>
      </c>
      <c r="H6" s="468">
        <f>SUM('TCO TO BE- SW'!I37:I46)+SUM('TCO TO BE- SW'!I120:I129)</f>
        <v>393708.85170332715</v>
      </c>
      <c r="I6" s="468">
        <f>SUM('TCO TO BE- SW'!J37:J46)+SUM('TCO TO BE- SW'!J120:J129)</f>
        <v>657239.77663377998</v>
      </c>
      <c r="J6" s="468">
        <f>SUM('TCO TO BE- SW'!K37:K46)+SUM('TCO TO BE- SW'!K120:K129)</f>
        <v>131765.46246522639</v>
      </c>
      <c r="K6" s="468">
        <f>SUM('TCO TO BE- SW'!L37:L46)+SUM('TCO TO BE- SW'!L120:L129)</f>
        <v>14137005.340395678</v>
      </c>
      <c r="L6" s="468">
        <f>SUM('TCO TO BE- SW'!M37:M46)+SUM('TCO TO BE- SW'!M120:M129)</f>
        <v>2836245.9097936689</v>
      </c>
      <c r="M6" s="468">
        <f>SUM('TCO TO BE- SW'!N37:N46)+SUM('TCO TO BE- SW'!N120:N129)</f>
        <v>1403381.5520392791</v>
      </c>
      <c r="N6" s="468">
        <f>SUM('TCO TO BE- SW'!O37:O46)+SUM('TCO TO BE- SW'!O120:O129)</f>
        <v>11514509.772036564</v>
      </c>
      <c r="O6" s="468">
        <f>SUM('TCO TO BE- SW'!P37:P46)+SUM('TCO TO BE- SW'!P120:P129)</f>
        <v>3835599.6281293319</v>
      </c>
      <c r="P6" s="468">
        <f>SUM('TCO TO BE- SW'!Q37:Q46)+SUM('TCO TO BE- SW'!Q120:Q129)</f>
        <v>0</v>
      </c>
      <c r="Q6" s="468">
        <f>SUM('TCO TO BE- SW'!R37:R46)+SUM('TCO TO BE- SW'!R120:R129)</f>
        <v>0</v>
      </c>
      <c r="R6" s="468">
        <f>SUM('TCO TO BE- SW'!S37:S46)+SUM('TCO TO BE- SW'!S120:S129)</f>
        <v>0</v>
      </c>
      <c r="S6" s="468">
        <f>SUM('TCO TO BE- SW'!T37:T46)+SUM('TCO TO BE- SW'!T120:T129)</f>
        <v>0</v>
      </c>
      <c r="T6" s="468">
        <f>SUM('TCO TO BE- SW'!U37:U46)+SUM('TCO TO BE- SW'!U120:U129)</f>
        <v>0</v>
      </c>
      <c r="U6" s="468">
        <f>SUM('TCO TO BE- SW'!V37:V46)+SUM('TCO TO BE- SW'!V120:V129)</f>
        <v>0</v>
      </c>
      <c r="V6" s="468">
        <f>SUM('TCO TO BE- SW'!W37:W46)+SUM('TCO TO BE- SW'!W120:W129)</f>
        <v>0</v>
      </c>
      <c r="W6" s="468">
        <f>SUM('TCO TO BE- SW'!X37:X46)+SUM('TCO TO BE- SW'!X120:X129)</f>
        <v>0</v>
      </c>
      <c r="X6" s="468">
        <f>SUM('TCO TO BE- SW'!Y37:Y46)+SUM('TCO TO BE- SW'!Y120:Y129)</f>
        <v>0</v>
      </c>
      <c r="Y6" s="468">
        <f>SUM('TCO TO BE- SW'!Z37:Z46)+SUM('TCO TO BE- SW'!Z120:Z129)</f>
        <v>0</v>
      </c>
      <c r="AC6" s="456"/>
      <c r="AD6" s="456"/>
      <c r="AE6" s="457" t="s">
        <v>101</v>
      </c>
      <c r="AF6" s="468">
        <f>SUM(AG6:BA6)</f>
        <v>38439183.920717292</v>
      </c>
      <c r="AG6" s="468">
        <f>('TCO TO BE- SW'!F37+NPV(Faktory!$D$5,'TCO TO BE- SW'!F38:F46)+'TCO TO BE- SW'!F120+NPV(Faktory!$D$5,'TCO TO BE- SW'!F121:F129))</f>
        <v>8074488.7610005885</v>
      </c>
      <c r="AH6" s="468">
        <f>('TCO TO BE- SW'!G37+NPV(Faktory!$D$5,'TCO TO BE- SW'!G38:G46)+'TCO TO BE- SW'!G120+NPV(Faktory!$D$5,'TCO TO BE- SW'!G121:G129))</f>
        <v>570692.32116423559</v>
      </c>
      <c r="AI6" s="468">
        <f>('TCO TO BE- SW'!H37+NPV(Faktory!$D$5,'TCO TO BE- SW'!H38:H46)+'TCO TO BE- SW'!H120+NPV(Faktory!$D$5,'TCO TO BE- SW'!H121:H129))</f>
        <v>557232.59660847532</v>
      </c>
      <c r="AJ6" s="468">
        <f>('TCO TO BE- SW'!I37+NPV(Faktory!$D$5,'TCO TO BE- SW'!I38:I46)+'TCO TO BE- SW'!I120+NPV(Faktory!$D$5,'TCO TO BE- SW'!I121:I129))</f>
        <v>333801.16898285481</v>
      </c>
      <c r="AK6" s="468">
        <f>('TCO TO BE- SW'!J37+NPV(Faktory!$D$5,'TCO TO BE- SW'!J38:J46)+'TCO TO BE- SW'!J120+NPV(Faktory!$D$5,'TCO TO BE- SW'!J121:J129))</f>
        <v>557232.59660847532</v>
      </c>
      <c r="AL6" s="468">
        <f>('TCO TO BE- SW'!K37+NPV(Faktory!$D$5,'TCO TO BE- SW'!K38:K46)+'TCO TO BE- SW'!K120+NPV(Faktory!$D$5,'TCO TO BE- SW'!K121:K129))</f>
        <v>111715.71381281028</v>
      </c>
      <c r="AM6" s="468">
        <f>('TCO TO BE- SW'!L37+NPV(Faktory!$D$5,'TCO TO BE- SW'!L38:L46)+'TCO TO BE- SW'!L120+NPV(Faktory!$D$5,'TCO TO BE- SW'!L121:L129))</f>
        <v>11625607.790888328</v>
      </c>
      <c r="AN6" s="468">
        <f>('TCO TO BE- SW'!M37+NPV(Faktory!$D$5,'TCO TO BE- SW'!M38:M46)+'TCO TO BE- SW'!M120+NPV(Faktory!$D$5,'TCO TO BE- SW'!M121:M129))</f>
        <v>2332395.1396943843</v>
      </c>
      <c r="AO6" s="468">
        <f>('TCO TO BE- SW'!N37+NPV(Faktory!$D$5,'TCO TO BE- SW'!N38:N46)+'TCO TO BE- SW'!N120+NPV(Faktory!$D$5,'TCO TO BE- SW'!N121:N129))</f>
        <v>1154074.9339859947</v>
      </c>
      <c r="AP6" s="468">
        <f>('TCO TO BE- SW'!O37+NPV(Faktory!$D$5,'TCO TO BE- SW'!O38:O46)+'TCO TO BE- SW'!O120+NPV(Faktory!$D$5,'TCO TO BE- SW'!O121:O129))</f>
        <v>9468990.8711813055</v>
      </c>
      <c r="AQ6" s="468">
        <f>('TCO TO BE- SW'!P37+NPV(Faktory!$D$5,'TCO TO BE- SW'!P38:P46)+'TCO TO BE- SW'!P120+NPV(Faktory!$D$5,'TCO TO BE- SW'!P121:P129))</f>
        <v>3652952.0267898398</v>
      </c>
      <c r="AR6" s="468">
        <f>('TCO TO BE- SW'!Q37+NPV(Faktory!$D$5,'TCO TO BE- SW'!Q38:Q46)+'TCO TO BE- SW'!Q120+NPV(Faktory!$D$5,'TCO TO BE- SW'!Q121:Q129))</f>
        <v>0</v>
      </c>
      <c r="AS6" s="468">
        <f>('TCO TO BE- SW'!R37+NPV(Faktory!$D$5,'TCO TO BE- SW'!R38:R46)+'TCO TO BE- SW'!R120+NPV(Faktory!$D$5,'TCO TO BE- SW'!R121:R129))</f>
        <v>0</v>
      </c>
      <c r="AT6" s="468">
        <f>('TCO TO BE- SW'!S37+NPV(Faktory!$D$5,'TCO TO BE- SW'!S38:S46)+'TCO TO BE- SW'!S120+NPV(Faktory!$D$5,'TCO TO BE- SW'!S121:S129))</f>
        <v>0</v>
      </c>
      <c r="AU6" s="468">
        <f>('TCO TO BE- SW'!T37+NPV(Faktory!$D$5,'TCO TO BE- SW'!T38:T46)+'TCO TO BE- SW'!T120+NPV(Faktory!$D$5,'TCO TO BE- SW'!T121:T129))</f>
        <v>0</v>
      </c>
      <c r="AV6" s="468">
        <f>('TCO TO BE- SW'!U37+NPV(Faktory!$D$5,'TCO TO BE- SW'!U38:U46)+'TCO TO BE- SW'!U120+NPV(Faktory!$D$5,'TCO TO BE- SW'!U121:U129))</f>
        <v>0</v>
      </c>
      <c r="AW6" s="468">
        <f>('TCO TO BE- SW'!V37+NPV(Faktory!$D$5,'TCO TO BE- SW'!V38:V46)+'TCO TO BE- SW'!V120+NPV(Faktory!$D$5,'TCO TO BE- SW'!V121:V129))</f>
        <v>0</v>
      </c>
      <c r="AX6" s="468">
        <f>('TCO TO BE- SW'!W37+NPV(Faktory!$D$5,'TCO TO BE- SW'!W38:W46)+'TCO TO BE- SW'!W120+NPV(Faktory!$D$5,'TCO TO BE- SW'!W121:W129))</f>
        <v>0</v>
      </c>
      <c r="AY6" s="468">
        <f>('TCO TO BE- SW'!X37+NPV(Faktory!$D$5,'TCO TO BE- SW'!X38:X46)+'TCO TO BE- SW'!X120+NPV(Faktory!$D$5,'TCO TO BE- SW'!X121:X129))</f>
        <v>0</v>
      </c>
      <c r="AZ6" s="468">
        <f>('TCO TO BE- SW'!Y37+NPV(Faktory!$D$5,'TCO TO BE- SW'!Y38:Y46)+'TCO TO BE- SW'!Y120+NPV(Faktory!$D$5,'TCO TO BE- SW'!Y121:Y129))</f>
        <v>0</v>
      </c>
      <c r="BA6" s="468">
        <f>('TCO TO BE- SW'!Z37+NPV(Faktory!$D$5,'TCO TO BE- SW'!Z38:Z46)+'TCO TO BE- SW'!Z120+NPV(Faktory!$D$5,'TCO TO BE- SW'!Z121:Z129))</f>
        <v>0</v>
      </c>
    </row>
    <row r="7" spans="1:53">
      <c r="A7" s="456"/>
      <c r="B7" s="456"/>
      <c r="C7" s="457" t="s">
        <v>102</v>
      </c>
      <c r="D7" s="468">
        <f>SUM(E7:Y7)</f>
        <v>0</v>
      </c>
      <c r="E7" s="468">
        <f>SUM('TCO TO BE- SW'!F6:F15)+SUM('TCO TO BE- SW'!F89:F98)</f>
        <v>0</v>
      </c>
      <c r="F7" s="468">
        <f>SUM('TCO TO BE- SW'!G6:G15)+SUM('TCO TO BE- SW'!G89:G98)</f>
        <v>0</v>
      </c>
      <c r="G7" s="468">
        <f>SUM('TCO TO BE- SW'!H6:H15)+SUM('TCO TO BE- SW'!H89:H98)</f>
        <v>0</v>
      </c>
      <c r="H7" s="468">
        <f>SUM('TCO TO BE- SW'!I6:I15)+SUM('TCO TO BE- SW'!I89:I98)</f>
        <v>0</v>
      </c>
      <c r="I7" s="468">
        <f>SUM('TCO TO BE- SW'!J6:J15)+SUM('TCO TO BE- SW'!J89:J98)</f>
        <v>0</v>
      </c>
      <c r="J7" s="468">
        <f>SUM('TCO TO BE- SW'!K6:K15)+SUM('TCO TO BE- SW'!K89:K98)</f>
        <v>0</v>
      </c>
      <c r="K7" s="468">
        <f>SUM('TCO TO BE- SW'!L6:L15)+SUM('TCO TO BE- SW'!L89:L98)</f>
        <v>0</v>
      </c>
      <c r="L7" s="468">
        <f>SUM('TCO TO BE- SW'!M6:M15)+SUM('TCO TO BE- SW'!M89:M98)</f>
        <v>0</v>
      </c>
      <c r="M7" s="468">
        <f>SUM('TCO TO BE- SW'!N6:N15)+SUM('TCO TO BE- SW'!N89:N98)</f>
        <v>0</v>
      </c>
      <c r="N7" s="468">
        <f>SUM('TCO TO BE- SW'!O6:O15)+SUM('TCO TO BE- SW'!O89:O98)</f>
        <v>0</v>
      </c>
      <c r="O7" s="468">
        <f>SUM('TCO TO BE- SW'!P6:P15)+SUM('TCO TO BE- SW'!P89:P98)</f>
        <v>0</v>
      </c>
      <c r="P7" s="468">
        <f>SUM('TCO TO BE- SW'!Q6:Q15)+SUM('TCO TO BE- SW'!Q89:Q98)</f>
        <v>0</v>
      </c>
      <c r="Q7" s="468">
        <f>SUM('TCO TO BE- SW'!R6:R15)+SUM('TCO TO BE- SW'!R89:R98)</f>
        <v>0</v>
      </c>
      <c r="R7" s="468">
        <f>SUM('TCO TO BE- SW'!S6:S15)+SUM('TCO TO BE- SW'!S89:S98)</f>
        <v>0</v>
      </c>
      <c r="S7" s="468">
        <f>SUM('TCO TO BE- SW'!T6:T15)+SUM('TCO TO BE- SW'!T89:T98)</f>
        <v>0</v>
      </c>
      <c r="T7" s="468">
        <f>SUM('TCO TO BE- SW'!U6:U15)+SUM('TCO TO BE- SW'!U89:U98)</f>
        <v>0</v>
      </c>
      <c r="U7" s="468">
        <f>SUM('TCO TO BE- SW'!V6:V15)+SUM('TCO TO BE- SW'!V89:V98)</f>
        <v>0</v>
      </c>
      <c r="V7" s="468">
        <f>SUM('TCO TO BE- SW'!W6:W15)+SUM('TCO TO BE- SW'!W89:W98)</f>
        <v>0</v>
      </c>
      <c r="W7" s="468">
        <f>SUM('TCO TO BE- SW'!X6:X15)+SUM('TCO TO BE- SW'!X89:X98)</f>
        <v>0</v>
      </c>
      <c r="X7" s="468">
        <f>SUM('TCO TO BE- SW'!Y6:Y15)+SUM('TCO TO BE- SW'!Y89:Y98)</f>
        <v>0</v>
      </c>
      <c r="Y7" s="468">
        <f>SUM('TCO TO BE- SW'!Z6:Z15)+SUM('TCO TO BE- SW'!Z89:Z98)</f>
        <v>0</v>
      </c>
      <c r="AC7" s="456"/>
      <c r="AD7" s="456"/>
      <c r="AE7" s="457" t="s">
        <v>102</v>
      </c>
      <c r="AF7" s="468">
        <f>SUM(AG7:BA7)</f>
        <v>0</v>
      </c>
      <c r="AG7" s="468">
        <f>('TCO TO BE- SW'!F6+NPV(Faktory!$D$5,'TCO TO BE- SW'!F7:F15)+'TCO TO BE- SW'!F89+NPV(Faktory!$D$5,'TCO TO BE- SW'!F90:F98))</f>
        <v>0</v>
      </c>
      <c r="AH7" s="468">
        <f>('TCO TO BE- SW'!G6+NPV(Faktory!$D$5,'TCO TO BE- SW'!G7:G15)+'TCO TO BE- SW'!G89+NPV(Faktory!$D$5,'TCO TO BE- SW'!G90:G98))</f>
        <v>0</v>
      </c>
      <c r="AI7" s="468">
        <f>('TCO TO BE- SW'!H6+NPV(Faktory!$D$5,'TCO TO BE- SW'!H7:H15)+'TCO TO BE- SW'!H89+NPV(Faktory!$D$5,'TCO TO BE- SW'!H90:H98))</f>
        <v>0</v>
      </c>
      <c r="AJ7" s="468">
        <f>('TCO TO BE- SW'!I6+NPV(Faktory!$D$5,'TCO TO BE- SW'!I7:I15)+'TCO TO BE- SW'!I89+NPV(Faktory!$D$5,'TCO TO BE- SW'!I90:I98))</f>
        <v>0</v>
      </c>
      <c r="AK7" s="468">
        <f>('TCO TO BE- SW'!J6+NPV(Faktory!$D$5,'TCO TO BE- SW'!J7:J15)+'TCO TO BE- SW'!J89+NPV(Faktory!$D$5,'TCO TO BE- SW'!J90:J98))</f>
        <v>0</v>
      </c>
      <c r="AL7" s="468">
        <f>('TCO TO BE- SW'!K6+NPV(Faktory!$D$5,'TCO TO BE- SW'!K7:K15)+'TCO TO BE- SW'!K89+NPV(Faktory!$D$5,'TCO TO BE- SW'!K90:K98))</f>
        <v>0</v>
      </c>
      <c r="AM7" s="468">
        <f>('TCO TO BE- SW'!L6+NPV(Faktory!$D$5,'TCO TO BE- SW'!L7:L15)+'TCO TO BE- SW'!L89+NPV(Faktory!$D$5,'TCO TO BE- SW'!L90:L98))</f>
        <v>0</v>
      </c>
      <c r="AN7" s="468">
        <f>('TCO TO BE- SW'!M6+NPV(Faktory!$D$5,'TCO TO BE- SW'!M7:M15)+'TCO TO BE- SW'!M89+NPV(Faktory!$D$5,'TCO TO BE- SW'!M90:M98))</f>
        <v>0</v>
      </c>
      <c r="AO7" s="468">
        <f>('TCO TO BE- SW'!N6+NPV(Faktory!$D$5,'TCO TO BE- SW'!N7:N15)+'TCO TO BE- SW'!N89+NPV(Faktory!$D$5,'TCO TO BE- SW'!N90:N98))</f>
        <v>0</v>
      </c>
      <c r="AP7" s="468">
        <f>('TCO TO BE- SW'!O6+NPV(Faktory!$D$5,'TCO TO BE- SW'!O7:O15)+'TCO TO BE- SW'!O89+NPV(Faktory!$D$5,'TCO TO BE- SW'!O90:O98))</f>
        <v>0</v>
      </c>
      <c r="AQ7" s="468">
        <f>('TCO TO BE- SW'!P6+NPV(Faktory!$D$5,'TCO TO BE- SW'!P7:P15)+'TCO TO BE- SW'!P89+NPV(Faktory!$D$5,'TCO TO BE- SW'!P90:P98))</f>
        <v>0</v>
      </c>
      <c r="AR7" s="468">
        <f>('TCO TO BE- SW'!Q6+NPV(Faktory!$D$5,'TCO TO BE- SW'!Q7:Q15)+'TCO TO BE- SW'!Q89+NPV(Faktory!$D$5,'TCO TO BE- SW'!Q90:Q98))</f>
        <v>0</v>
      </c>
      <c r="AS7" s="468">
        <f>('TCO TO BE- SW'!R6+NPV(Faktory!$D$5,'TCO TO BE- SW'!R7:R15)+'TCO TO BE- SW'!R89+NPV(Faktory!$D$5,'TCO TO BE- SW'!R90:R98))</f>
        <v>0</v>
      </c>
      <c r="AT7" s="468">
        <f>('TCO TO BE- SW'!S6+NPV(Faktory!$D$5,'TCO TO BE- SW'!S7:S15)+'TCO TO BE- SW'!S89+NPV(Faktory!$D$5,'TCO TO BE- SW'!S90:S98))</f>
        <v>0</v>
      </c>
      <c r="AU7" s="468">
        <f>('TCO TO BE- SW'!T6+NPV(Faktory!$D$5,'TCO TO BE- SW'!T7:T15)+'TCO TO BE- SW'!T89+NPV(Faktory!$D$5,'TCO TO BE- SW'!T90:T98))</f>
        <v>0</v>
      </c>
      <c r="AV7" s="468">
        <f>('TCO TO BE- SW'!U6+NPV(Faktory!$D$5,'TCO TO BE- SW'!U7:U15)+'TCO TO BE- SW'!U89+NPV(Faktory!$D$5,'TCO TO BE- SW'!U90:U98))</f>
        <v>0</v>
      </c>
      <c r="AW7" s="468">
        <f>('TCO TO BE- SW'!V6+NPV(Faktory!$D$5,'TCO TO BE- SW'!V7:V15)+'TCO TO BE- SW'!V89+NPV(Faktory!$D$5,'TCO TO BE- SW'!V90:V98))</f>
        <v>0</v>
      </c>
      <c r="AX7" s="468">
        <f>('TCO TO BE- SW'!W6+NPV(Faktory!$D$5,'TCO TO BE- SW'!W7:W15)+'TCO TO BE- SW'!W89+NPV(Faktory!$D$5,'TCO TO BE- SW'!W90:W98))</f>
        <v>0</v>
      </c>
      <c r="AY7" s="468">
        <f>('TCO TO BE- SW'!X6+NPV(Faktory!$D$5,'TCO TO BE- SW'!X7:X15)+'TCO TO BE- SW'!X89+NPV(Faktory!$D$5,'TCO TO BE- SW'!X90:X98))</f>
        <v>0</v>
      </c>
      <c r="AZ7" s="468">
        <f>('TCO TO BE- SW'!Y6+NPV(Faktory!$D$5,'TCO TO BE- SW'!Y7:Y15)+'TCO TO BE- SW'!Y89+NPV(Faktory!$D$5,'TCO TO BE- SW'!Y90:Y98))</f>
        <v>0</v>
      </c>
      <c r="BA7" s="468">
        <f>('TCO TO BE- SW'!Z6+NPV(Faktory!$D$5,'TCO TO BE- SW'!Z7:Z15)+'TCO TO BE- SW'!Z89+NPV(Faktory!$D$5,'TCO TO BE- SW'!Z90:Z98))</f>
        <v>0</v>
      </c>
    </row>
    <row r="8" spans="1:53">
      <c r="A8" s="456"/>
      <c r="B8" s="456"/>
      <c r="C8" s="457" t="s">
        <v>103</v>
      </c>
      <c r="D8" s="468">
        <f>SUM(E8:X8)</f>
        <v>0</v>
      </c>
      <c r="E8" s="468">
        <f>SUM('TCO TO BE - HW'!F5:F14)+SUM('TCO TO BE - HW'!F66:F75)</f>
        <v>0</v>
      </c>
      <c r="F8" s="468">
        <f>SUM('TCO TO BE - HW'!G5:G14)+SUM('TCO TO BE - HW'!G66:G75)</f>
        <v>0</v>
      </c>
      <c r="G8" s="468">
        <f>SUM('TCO TO BE - HW'!H5:H14)+SUM('TCO TO BE - HW'!H66:H75)</f>
        <v>0</v>
      </c>
      <c r="H8" s="468">
        <f>SUM('TCO TO BE - HW'!I5:I14)+SUM('TCO TO BE - HW'!I66:I75)</f>
        <v>0</v>
      </c>
      <c r="I8" s="468">
        <f>SUM('TCO TO BE - HW'!J5:J14)+SUM('TCO TO BE - HW'!J66:J75)</f>
        <v>0</v>
      </c>
      <c r="J8" s="468">
        <f>SUM('TCO TO BE - HW'!K5:K14)+SUM('TCO TO BE - HW'!K66:K75)</f>
        <v>0</v>
      </c>
      <c r="K8" s="468">
        <f>SUM('TCO TO BE - HW'!L5:L14)+SUM('TCO TO BE - HW'!L66:L75)</f>
        <v>0</v>
      </c>
      <c r="L8" s="468">
        <f>SUM('TCO TO BE - HW'!M5:M14)+SUM('TCO TO BE - HW'!M66:M75)</f>
        <v>0</v>
      </c>
      <c r="M8" s="468">
        <f>SUM('TCO TO BE - HW'!N5:N14)+SUM('TCO TO BE - HW'!N66:N75)</f>
        <v>0</v>
      </c>
      <c r="N8" s="468">
        <f>SUM('TCO TO BE - HW'!O5:O14)+SUM('TCO TO BE - HW'!O66:O75)</f>
        <v>0</v>
      </c>
      <c r="O8" s="468">
        <f>SUM('TCO TO BE - HW'!P5:P14)+SUM('TCO TO BE - HW'!P66:P75)</f>
        <v>0</v>
      </c>
      <c r="P8" s="468">
        <f>SUM('TCO TO BE - HW'!Q5:Q14)+SUM('TCO TO BE - HW'!Q66:Q75)</f>
        <v>0</v>
      </c>
      <c r="Q8" s="468">
        <f>SUM('TCO TO BE - HW'!R5:R14)+SUM('TCO TO BE - HW'!R66:R75)</f>
        <v>0</v>
      </c>
      <c r="R8" s="468">
        <f>SUM('TCO TO BE - HW'!S5:S14)+SUM('TCO TO BE - HW'!S66:S75)</f>
        <v>0</v>
      </c>
      <c r="S8" s="468">
        <f>SUM('TCO TO BE - HW'!T5:T14)+SUM('TCO TO BE - HW'!T66:T75)</f>
        <v>0</v>
      </c>
      <c r="T8" s="468">
        <f>SUM('TCO TO BE - HW'!U5:U14)+SUM('TCO TO BE - HW'!U66:U75)</f>
        <v>0</v>
      </c>
      <c r="U8" s="468">
        <f>SUM('TCO TO BE - HW'!V5:V14)+SUM('TCO TO BE - HW'!V66:V75)</f>
        <v>0</v>
      </c>
      <c r="V8" s="468">
        <f>SUM('TCO TO BE - HW'!W5:W14)+SUM('TCO TO BE - HW'!W66:W75)</f>
        <v>0</v>
      </c>
      <c r="W8" s="468">
        <f>SUM('TCO TO BE - HW'!X5:X14)+SUM('TCO TO BE - HW'!X66:X75)</f>
        <v>0</v>
      </c>
      <c r="X8" s="468">
        <f>SUM('TCO TO BE - HW'!Y5:Y14)+SUM('TCO TO BE - HW'!Y66:Y75)</f>
        <v>0</v>
      </c>
      <c r="Y8" s="468">
        <f>SUM('TCO TO BE - HW'!Z5:Z14)+SUM('TCO TO BE - HW'!Z66:Z75)</f>
        <v>0</v>
      </c>
      <c r="AC8" s="456"/>
      <c r="AD8" s="456"/>
      <c r="AE8" s="457" t="s">
        <v>103</v>
      </c>
      <c r="AF8" s="468">
        <f>SUM(AG8:AZ8)</f>
        <v>0</v>
      </c>
      <c r="AG8" s="468">
        <f>('TCO TO BE - HW'!F5+NPV(Faktory!$D$5,'TCO TO BE - HW'!F6:F14)+'TCO TO BE - HW'!F66+NPV(Faktory!$D$5,'TCO TO BE - HW'!F67:F75))</f>
        <v>0</v>
      </c>
      <c r="AH8" s="468">
        <f>('TCO TO BE - HW'!G5+NPV(Faktory!$D$5,'TCO TO BE - HW'!G6:G14)+'TCO TO BE - HW'!G66+NPV(Faktory!$D$5,'TCO TO BE - HW'!G67:G75))</f>
        <v>0</v>
      </c>
      <c r="AI8" s="468">
        <f>('TCO TO BE - HW'!H5+NPV(Faktory!$D$5,'TCO TO BE - HW'!H6:H14)+'TCO TO BE - HW'!H66+NPV(Faktory!$D$5,'TCO TO BE - HW'!H67:H75))</f>
        <v>0</v>
      </c>
      <c r="AJ8" s="468">
        <f>('TCO TO BE - HW'!I5+NPV(Faktory!$D$5,'TCO TO BE - HW'!I6:I14)+'TCO TO BE - HW'!I66+NPV(Faktory!$D$5,'TCO TO BE - HW'!I67:I75))</f>
        <v>0</v>
      </c>
      <c r="AK8" s="468">
        <f>('TCO TO BE - HW'!J5+NPV(Faktory!$D$5,'TCO TO BE - HW'!J6:J14)+'TCO TO BE - HW'!J66+NPV(Faktory!$D$5,'TCO TO BE - HW'!J67:J75))</f>
        <v>0</v>
      </c>
      <c r="AL8" s="468">
        <f>('TCO TO BE - HW'!K5+NPV(Faktory!$D$5,'TCO TO BE - HW'!K6:K14)+'TCO TO BE - HW'!K66+NPV(Faktory!$D$5,'TCO TO BE - HW'!K67:K75))</f>
        <v>0</v>
      </c>
      <c r="AM8" s="468">
        <f>('TCO TO BE - HW'!L5+NPV(Faktory!$D$5,'TCO TO BE - HW'!L6:L14)+'TCO TO BE - HW'!L66+NPV(Faktory!$D$5,'TCO TO BE - HW'!L67:L75))</f>
        <v>0</v>
      </c>
      <c r="AN8" s="468">
        <f>('TCO TO BE - HW'!M5+NPV(Faktory!$D$5,'TCO TO BE - HW'!M6:M14)+'TCO TO BE - HW'!M66+NPV(Faktory!$D$5,'TCO TO BE - HW'!M67:M75))</f>
        <v>0</v>
      </c>
      <c r="AO8" s="468">
        <f>('TCO TO BE - HW'!N5+NPV(Faktory!$D$5,'TCO TO BE - HW'!N6:N14)+'TCO TO BE - HW'!N66+NPV(Faktory!$D$5,'TCO TO BE - HW'!N67:N75))</f>
        <v>0</v>
      </c>
      <c r="AP8" s="468">
        <f>('TCO TO BE - HW'!O5+NPV(Faktory!$D$5,'TCO TO BE - HW'!O6:O14)+'TCO TO BE - HW'!O66+NPV(Faktory!$D$5,'TCO TO BE - HW'!O67:O75))</f>
        <v>0</v>
      </c>
      <c r="AQ8" s="468">
        <f>('TCO TO BE - HW'!P5+NPV(Faktory!$D$5,'TCO TO BE - HW'!P6:P14)+'TCO TO BE - HW'!P66+NPV(Faktory!$D$5,'TCO TO BE - HW'!P67:P75))</f>
        <v>0</v>
      </c>
      <c r="AR8" s="468">
        <f>('TCO TO BE - HW'!Q5+NPV(Faktory!$D$5,'TCO TO BE - HW'!Q6:Q14)+'TCO TO BE - HW'!Q66+NPV(Faktory!$D$5,'TCO TO BE - HW'!Q67:Q75))</f>
        <v>0</v>
      </c>
      <c r="AS8" s="468">
        <f>('TCO TO BE - HW'!R5+NPV(Faktory!$D$5,'TCO TO BE - HW'!R6:R14)+'TCO TO BE - HW'!R66+NPV(Faktory!$D$5,'TCO TO BE - HW'!R67:R75))</f>
        <v>0</v>
      </c>
      <c r="AT8" s="468">
        <f>('TCO TO BE - HW'!S5+NPV(Faktory!$D$5,'TCO TO BE - HW'!S6:S14)+'TCO TO BE - HW'!S66+NPV(Faktory!$D$5,'TCO TO BE - HW'!S67:S75))</f>
        <v>0</v>
      </c>
      <c r="AU8" s="468">
        <f>('TCO TO BE - HW'!T5+NPV(Faktory!$D$5,'TCO TO BE - HW'!T6:T14)+'TCO TO BE - HW'!T66+NPV(Faktory!$D$5,'TCO TO BE - HW'!T67:T75))</f>
        <v>0</v>
      </c>
      <c r="AV8" s="468">
        <f>('TCO TO BE - HW'!U5+NPV(Faktory!$D$5,'TCO TO BE - HW'!U6:U14)+'TCO TO BE - HW'!U66+NPV(Faktory!$D$5,'TCO TO BE - HW'!U67:U75))</f>
        <v>0</v>
      </c>
      <c r="AW8" s="468">
        <f>('TCO TO BE - HW'!V5+NPV(Faktory!$D$5,'TCO TO BE - HW'!V6:V14)+'TCO TO BE - HW'!V66+NPV(Faktory!$D$5,'TCO TO BE - HW'!V67:V75))</f>
        <v>0</v>
      </c>
      <c r="AX8" s="468">
        <f>('TCO TO BE - HW'!W5+NPV(Faktory!$D$5,'TCO TO BE - HW'!W6:W14)+'TCO TO BE - HW'!W66+NPV(Faktory!$D$5,'TCO TO BE - HW'!W67:W75))</f>
        <v>0</v>
      </c>
      <c r="AY8" s="468">
        <f>('TCO TO BE - HW'!X5+NPV(Faktory!$D$5,'TCO TO BE - HW'!X6:X14)+'TCO TO BE - HW'!X66+NPV(Faktory!$D$5,'TCO TO BE - HW'!X67:X75))</f>
        <v>0</v>
      </c>
      <c r="AZ8" s="468">
        <f>('TCO TO BE - HW'!Y5+NPV(Faktory!$D$5,'TCO TO BE - HW'!Y6:Y14)+'TCO TO BE - HW'!Y66+NPV(Faktory!$D$5,'TCO TO BE - HW'!Y67:Y75))</f>
        <v>0</v>
      </c>
      <c r="BA8" s="468">
        <f>('TCO TO BE - HW'!Z5+NPV(Faktory!$D$5,'TCO TO BE - HW'!Z6:Z14)+'TCO TO BE - HW'!Z66+NPV(Faktory!$D$5,'TCO TO BE - HW'!Z67:Z75))</f>
        <v>0</v>
      </c>
    </row>
    <row r="9" spans="1:53">
      <c r="A9" s="453"/>
      <c r="B9" s="454" t="s">
        <v>104</v>
      </c>
      <c r="C9" s="454"/>
      <c r="D9" s="455">
        <f>SUM(E9:Y9)</f>
        <v>22027020.533856254</v>
      </c>
      <c r="E9" s="455">
        <f>SUM(E10:E12)</f>
        <v>5012375.3636198435</v>
      </c>
      <c r="F9" s="455">
        <f>SUM(F10:F12)</f>
        <v>354266.90351305448</v>
      </c>
      <c r="G9" s="455">
        <f>SUM(G10:G12)</f>
        <v>345911.55201510515</v>
      </c>
      <c r="H9" s="455">
        <f>SUM(H10:H12)</f>
        <v>207212.71714914509</v>
      </c>
      <c r="I9" s="455">
        <f>SUM(I10:I12)</f>
        <v>345911.55201510515</v>
      </c>
      <c r="J9" s="455">
        <f>SUM(J10+J11)</f>
        <v>69349.417432979986</v>
      </c>
      <c r="K9" s="455">
        <f>SUM(K10:K12)</f>
        <v>7197185.6245875694</v>
      </c>
      <c r="L9" s="455">
        <f>SUM(L10:L12)</f>
        <v>1443940.0564865987</v>
      </c>
      <c r="M9" s="455">
        <f>SUM(M10:M12)</f>
        <v>714465.14229482436</v>
      </c>
      <c r="N9" s="455">
        <f>SUM(N10+N11)</f>
        <v>5862066.4143538568</v>
      </c>
      <c r="O9" s="455">
        <f>SUM(O10:O12)</f>
        <v>474335.79038817005</v>
      </c>
      <c r="P9" s="455">
        <f>SUM(P10:P12)</f>
        <v>0</v>
      </c>
      <c r="Q9" s="455">
        <f>SUM(Q10:Q12)</f>
        <v>0</v>
      </c>
      <c r="R9" s="455">
        <f>SUM(R10+R11)</f>
        <v>0</v>
      </c>
      <c r="S9" s="455">
        <f>SUM(S10:S12)</f>
        <v>0</v>
      </c>
      <c r="T9" s="455">
        <f>SUM(T10:T12)</f>
        <v>0</v>
      </c>
      <c r="U9" s="455">
        <f>SUM(U10:U12)</f>
        <v>0</v>
      </c>
      <c r="V9" s="455">
        <f>SUM(V10+V11)</f>
        <v>0</v>
      </c>
      <c r="W9" s="455">
        <f>SUM(W10:W12)</f>
        <v>0</v>
      </c>
      <c r="X9" s="455">
        <f>SUM(X10:X12)</f>
        <v>0</v>
      </c>
      <c r="Y9" s="455">
        <f>SUM(Y10:Y12)</f>
        <v>0</v>
      </c>
      <c r="AC9" s="453"/>
      <c r="AD9" s="454" t="s">
        <v>104</v>
      </c>
      <c r="AE9" s="454"/>
      <c r="AF9" s="455">
        <f>SUM(AG9:BA9)</f>
        <v>17445895.206319194</v>
      </c>
      <c r="AG9" s="455">
        <f t="shared" ref="AG9:BA9" si="2">SUM(AG10:AG12)</f>
        <v>4026966.951516673</v>
      </c>
      <c r="AH9" s="455">
        <f t="shared" si="2"/>
        <v>284619.76786848967</v>
      </c>
      <c r="AI9" s="455">
        <f t="shared" si="2"/>
        <v>277907.03749423282</v>
      </c>
      <c r="AJ9" s="455">
        <f t="shared" si="2"/>
        <v>166475.71328156942</v>
      </c>
      <c r="AK9" s="455">
        <f t="shared" si="2"/>
        <v>277907.03749423282</v>
      </c>
      <c r="AL9" s="455">
        <f t="shared" si="2"/>
        <v>55715.662106331692</v>
      </c>
      <c r="AM9" s="455">
        <f t="shared" si="2"/>
        <v>5630254.9309583642</v>
      </c>
      <c r="AN9" s="455">
        <f t="shared" si="2"/>
        <v>1129573.5648763184</v>
      </c>
      <c r="AO9" s="455">
        <f t="shared" si="2"/>
        <v>558915.81796374999</v>
      </c>
      <c r="AP9" s="455">
        <f t="shared" si="2"/>
        <v>4585810.3509609774</v>
      </c>
      <c r="AQ9" s="455">
        <f t="shared" si="2"/>
        <v>451748.37179825717</v>
      </c>
      <c r="AR9" s="455">
        <f t="shared" si="2"/>
        <v>0</v>
      </c>
      <c r="AS9" s="455">
        <f t="shared" si="2"/>
        <v>0</v>
      </c>
      <c r="AT9" s="455">
        <f t="shared" si="2"/>
        <v>0</v>
      </c>
      <c r="AU9" s="455">
        <f t="shared" si="2"/>
        <v>0</v>
      </c>
      <c r="AV9" s="455">
        <f t="shared" si="2"/>
        <v>0</v>
      </c>
      <c r="AW9" s="455">
        <f t="shared" si="2"/>
        <v>0</v>
      </c>
      <c r="AX9" s="455">
        <f t="shared" si="2"/>
        <v>0</v>
      </c>
      <c r="AY9" s="455">
        <f t="shared" si="2"/>
        <v>0</v>
      </c>
      <c r="AZ9" s="455">
        <f t="shared" si="2"/>
        <v>0</v>
      </c>
      <c r="BA9" s="455">
        <f t="shared" si="2"/>
        <v>0</v>
      </c>
    </row>
    <row r="10" spans="1:53">
      <c r="A10" s="456"/>
      <c r="B10" s="456"/>
      <c r="C10" s="457" t="s">
        <v>101</v>
      </c>
      <c r="D10" s="472">
        <f>SUM(E10:Y10)</f>
        <v>22027020.533856254</v>
      </c>
      <c r="E10" s="468">
        <f>SUM('TCO TO BE- SW'!F47:F76)+SUM('TCO TO BE- SW'!F100:F119)+SUM('TCO TO BE- SW'!E130:E149)</f>
        <v>5012375.3636198435</v>
      </c>
      <c r="F10" s="468">
        <f>SUM('TCO TO BE- SW'!G47:G76)+SUM('TCO TO BE- SW'!G100:G119)+SUM('TCO TO BE- SW'!F130:F149)</f>
        <v>354266.90351305448</v>
      </c>
      <c r="G10" s="468">
        <f>SUM('TCO TO BE- SW'!H47:H76)+SUM('TCO TO BE- SW'!H100:H119)+SUM('TCO TO BE- SW'!G130:G149)</f>
        <v>345911.55201510515</v>
      </c>
      <c r="H10" s="468">
        <f>SUM('TCO TO BE- SW'!I47:I76)+SUM('TCO TO BE- SW'!I100:I119)+SUM('TCO TO BE- SW'!H130:H149)</f>
        <v>207212.71714914509</v>
      </c>
      <c r="I10" s="468">
        <f>SUM('TCO TO BE- SW'!J47:J76)+SUM('TCO TO BE- SW'!J100:J119)+SUM('TCO TO BE- SW'!I130:I149)</f>
        <v>345911.55201510515</v>
      </c>
      <c r="J10" s="468">
        <f>SUM('TCO TO BE- SW'!K47:K76)+SUM('TCO TO BE- SW'!K100:K119)+SUM('TCO TO BE- SW'!J130:J149)</f>
        <v>69349.417432979986</v>
      </c>
      <c r="K10" s="468">
        <f>SUM('TCO TO BE- SW'!L47:L76)+SUM('TCO TO BE- SW'!L100:L119)+SUM('TCO TO BE- SW'!K130:K149)</f>
        <v>7197185.6245875694</v>
      </c>
      <c r="L10" s="468">
        <f>SUM('TCO TO BE- SW'!M47:M76)+SUM('TCO TO BE- SW'!M100:M119)+SUM('TCO TO BE- SW'!L130:L149)</f>
        <v>1443940.0564865987</v>
      </c>
      <c r="M10" s="468">
        <f>SUM('TCO TO BE- SW'!N47:N76)+SUM('TCO TO BE- SW'!N100:N119)+SUM('TCO TO BE- SW'!M130:M149)</f>
        <v>714465.14229482436</v>
      </c>
      <c r="N10" s="468">
        <f>SUM('TCO TO BE- SW'!O47:O76)+SUM('TCO TO BE- SW'!O100:O119)+SUM('TCO TO BE- SW'!N130:N149)</f>
        <v>5862066.4143538568</v>
      </c>
      <c r="O10" s="468">
        <f>SUM('TCO TO BE- SW'!P47:P76)+SUM('TCO TO BE- SW'!P100:P119)+SUM('TCO TO BE- SW'!O130:O149)</f>
        <v>474335.79038817005</v>
      </c>
      <c r="P10" s="468">
        <f>SUM('TCO TO BE- SW'!Q47:Q76)+SUM('TCO TO BE- SW'!Q100:Q119)+SUM('TCO TO BE- SW'!P130:P149)</f>
        <v>0</v>
      </c>
      <c r="Q10" s="468">
        <f>SUM('TCO TO BE- SW'!R47:R76)+SUM('TCO TO BE- SW'!R100:R119)+SUM('TCO TO BE- SW'!Q130:Q149)</f>
        <v>0</v>
      </c>
      <c r="R10" s="468">
        <f>SUM('TCO TO BE- SW'!S47:S76)+SUM('TCO TO BE- SW'!S100:S119)+SUM('TCO TO BE- SW'!R130:R149)</f>
        <v>0</v>
      </c>
      <c r="S10" s="468">
        <f>SUM('TCO TO BE- SW'!T47:T76)+SUM('TCO TO BE- SW'!T100:T119)+SUM('TCO TO BE- SW'!S130:S149)</f>
        <v>0</v>
      </c>
      <c r="T10" s="468">
        <f>SUM('TCO TO BE- SW'!U47:U76)+SUM('TCO TO BE- SW'!U100:U119)+SUM('TCO TO BE- SW'!T130:T149)</f>
        <v>0</v>
      </c>
      <c r="U10" s="468">
        <f>SUM('TCO TO BE- SW'!V47:V76)+SUM('TCO TO BE- SW'!V100:V119)+SUM('TCO TO BE- SW'!U130:U149)</f>
        <v>0</v>
      </c>
      <c r="V10" s="468">
        <f>SUM('TCO TO BE- SW'!W47:W76)+SUM('TCO TO BE- SW'!W100:W119)+SUM('TCO TO BE- SW'!V130:V149)</f>
        <v>0</v>
      </c>
      <c r="W10" s="468">
        <f>SUM('TCO TO BE- SW'!X47:X76)+SUM('TCO TO BE- SW'!X100:X119)+SUM('TCO TO BE- SW'!W130:W149)</f>
        <v>0</v>
      </c>
      <c r="X10" s="468">
        <f>SUM('TCO TO BE- SW'!Y47:Y76)+SUM('TCO TO BE- SW'!Y100:Y119)+SUM('TCO TO BE- SW'!X130:X149)</f>
        <v>0</v>
      </c>
      <c r="Y10" s="468">
        <f>SUM('TCO TO BE- SW'!Z47:Z76)+SUM('TCO TO BE- SW'!Z100:Z119)+SUM('TCO TO BE- SW'!Y130:Y149)</f>
        <v>0</v>
      </c>
      <c r="AC10" s="456"/>
      <c r="AD10" s="456"/>
      <c r="AE10" s="457" t="s">
        <v>101</v>
      </c>
      <c r="AF10" s="469">
        <f>SUM(AG10:BA10)</f>
        <v>17445895.206319194</v>
      </c>
      <c r="AG10" s="468">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4026966.951516673</v>
      </c>
      <c r="AH10" s="468">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284619.76786848967</v>
      </c>
      <c r="AI10" s="468">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277907.03749423282</v>
      </c>
      <c r="AJ10" s="468">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166475.71328156942</v>
      </c>
      <c r="AK10" s="468">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277907.03749423282</v>
      </c>
      <c r="AL10" s="468">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55715.662106331692</v>
      </c>
      <c r="AM10" s="468">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5630254.9309583642</v>
      </c>
      <c r="AN10" s="468">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1129573.5648763184</v>
      </c>
      <c r="AO10" s="468">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558915.81796374999</v>
      </c>
      <c r="AP10" s="468">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4585810.3509609774</v>
      </c>
      <c r="AQ10" s="468">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451748.37179825717</v>
      </c>
      <c r="AR10" s="468">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68">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68">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68">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68">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68">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68">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68">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68">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68">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56"/>
      <c r="B11" s="456"/>
      <c r="C11" s="457" t="s">
        <v>102</v>
      </c>
      <c r="D11" s="473">
        <f>SUM(E11:Y11)</f>
        <v>0</v>
      </c>
      <c r="E11" s="468">
        <f>SUM('TCO TO BE- SW'!F16:F35)+SUM('TCO TO BE- SW'!F79:F88)</f>
        <v>0</v>
      </c>
      <c r="F11" s="468">
        <f>SUM('TCO TO BE- SW'!G16:G35)+SUM('TCO TO BE- SW'!G79:G88)</f>
        <v>0</v>
      </c>
      <c r="G11" s="468">
        <f>SUM('TCO TO BE- SW'!H16:H35)+SUM('TCO TO BE- SW'!H79:H88)</f>
        <v>0</v>
      </c>
      <c r="H11" s="468">
        <f>SUM('TCO TO BE- SW'!I16:I35)+SUM('TCO TO BE- SW'!I79:I88)</f>
        <v>0</v>
      </c>
      <c r="I11" s="468">
        <f>SUM('TCO TO BE- SW'!J16:J35)+SUM('TCO TO BE- SW'!J79:J88)</f>
        <v>0</v>
      </c>
      <c r="J11" s="468">
        <f>SUM('TCO TO BE- SW'!K16:K35)+SUM('TCO TO BE- SW'!K79:K88)</f>
        <v>0</v>
      </c>
      <c r="K11" s="468">
        <f>SUM('TCO TO BE- SW'!L16:L35)+SUM('TCO TO BE- SW'!L79:L88)</f>
        <v>0</v>
      </c>
      <c r="L11" s="468">
        <f>SUM('TCO TO BE- SW'!M16:M35)+SUM('TCO TO BE- SW'!M79:M88)</f>
        <v>0</v>
      </c>
      <c r="M11" s="468">
        <f>SUM('TCO TO BE- SW'!N16:N35)+SUM('TCO TO BE- SW'!N79:N88)</f>
        <v>0</v>
      </c>
      <c r="N11" s="468">
        <f>SUM('TCO TO BE- SW'!O16:O35)+SUM('TCO TO BE- SW'!O79:O88)</f>
        <v>0</v>
      </c>
      <c r="O11" s="468">
        <f>SUM('TCO TO BE- SW'!P16:P35)+SUM('TCO TO BE- SW'!P79:P88)</f>
        <v>0</v>
      </c>
      <c r="P11" s="468">
        <f>SUM('TCO TO BE- SW'!Q16:Q35)+SUM('TCO TO BE- SW'!Q79:Q88)</f>
        <v>0</v>
      </c>
      <c r="Q11" s="468">
        <f>SUM('TCO TO BE- SW'!R16:R35)+SUM('TCO TO BE- SW'!R79:R88)</f>
        <v>0</v>
      </c>
      <c r="R11" s="468">
        <f>SUM('TCO TO BE- SW'!S16:S35)+SUM('TCO TO BE- SW'!S79:S88)</f>
        <v>0</v>
      </c>
      <c r="S11" s="468">
        <f>SUM('TCO TO BE- SW'!T16:T35)+SUM('TCO TO BE- SW'!T79:T88)</f>
        <v>0</v>
      </c>
      <c r="T11" s="468">
        <f>SUM('TCO TO BE- SW'!U16:U35)+SUM('TCO TO BE- SW'!U79:U88)</f>
        <v>0</v>
      </c>
      <c r="U11" s="468">
        <f>SUM('TCO TO BE- SW'!V16:V35)+SUM('TCO TO BE- SW'!V79:V88)</f>
        <v>0</v>
      </c>
      <c r="V11" s="468">
        <f>SUM('TCO TO BE- SW'!W16:W35)+SUM('TCO TO BE- SW'!W79:W88)</f>
        <v>0</v>
      </c>
      <c r="W11" s="468">
        <f>SUM('TCO TO BE- SW'!X16:X35)+SUM('TCO TO BE- SW'!X79:X88)</f>
        <v>0</v>
      </c>
      <c r="X11" s="468">
        <f>SUM('TCO TO BE- SW'!Y16:Y35)+SUM('TCO TO BE- SW'!Y79:Y88)</f>
        <v>0</v>
      </c>
      <c r="Y11" s="468">
        <f>SUM('TCO TO BE- SW'!Z16:Z35)+SUM('TCO TO BE- SW'!Z79:Z88)</f>
        <v>0</v>
      </c>
      <c r="AC11" s="456"/>
      <c r="AD11" s="456"/>
      <c r="AE11" s="457" t="s">
        <v>102</v>
      </c>
      <c r="AF11" s="468">
        <f>SUM(AG11:BA11)</f>
        <v>0</v>
      </c>
      <c r="AG11" s="468">
        <f>('TCO TO BE- SW'!F16+NPV(Faktory!$D$5,'TCO TO BE- SW'!F17:F25)+'TCO TO BE- SW'!F26+NPV(Faktory!$D$5,'TCO TO BE- SW'!F27:F35)+'TCO TO BE- SW'!F79+NPV(Faktory!$D$5,'TCO TO BE- SW'!F80:F88))</f>
        <v>0</v>
      </c>
      <c r="AH11" s="468">
        <f>('TCO TO BE- SW'!G16+NPV(Faktory!$D$5,'TCO TO BE- SW'!G17:G25)+'TCO TO BE- SW'!G26+NPV(Faktory!$D$5,'TCO TO BE- SW'!G27:G35)+'TCO TO BE- SW'!G79+NPV(Faktory!$D$5,'TCO TO BE- SW'!G80:G88))</f>
        <v>0</v>
      </c>
      <c r="AI11" s="468">
        <f>('TCO TO BE- SW'!H16+NPV(Faktory!$D$5,'TCO TO BE- SW'!H17:H25)+'TCO TO BE- SW'!H26+NPV(Faktory!$D$5,'TCO TO BE- SW'!H27:H35)+'TCO TO BE- SW'!H79+NPV(Faktory!$D$5,'TCO TO BE- SW'!H80:H88))</f>
        <v>0</v>
      </c>
      <c r="AJ11" s="468">
        <f>('TCO TO BE- SW'!I16+NPV(Faktory!$D$5,'TCO TO BE- SW'!I17:I25)+'TCO TO BE- SW'!I26+NPV(Faktory!$D$5,'TCO TO BE- SW'!I27:I35)+'TCO TO BE- SW'!I79+NPV(Faktory!$D$5,'TCO TO BE- SW'!I80:I88))</f>
        <v>0</v>
      </c>
      <c r="AK11" s="468">
        <f>('TCO TO BE- SW'!J16+NPV(Faktory!$D$5,'TCO TO BE- SW'!J17:J25)+'TCO TO BE- SW'!J26+NPV(Faktory!$D$5,'TCO TO BE- SW'!J27:J35)+'TCO TO BE- SW'!J79+NPV(Faktory!$D$5,'TCO TO BE- SW'!J80:J88))</f>
        <v>0</v>
      </c>
      <c r="AL11" s="468">
        <f>('TCO TO BE- SW'!K16+NPV(Faktory!$D$5,'TCO TO BE- SW'!K17:K25)+'TCO TO BE- SW'!K26+NPV(Faktory!$D$5,'TCO TO BE- SW'!K27:K35)+'TCO TO BE- SW'!K79+NPV(Faktory!$D$5,'TCO TO BE- SW'!K80:K88))</f>
        <v>0</v>
      </c>
      <c r="AM11" s="468">
        <f>('TCO TO BE- SW'!L16+NPV(Faktory!$D$5,'TCO TO BE- SW'!L17:L25)+'TCO TO BE- SW'!L26+NPV(Faktory!$D$5,'TCO TO BE- SW'!L27:L35)+'TCO TO BE- SW'!L79+NPV(Faktory!$D$5,'TCO TO BE- SW'!L80:L88))</f>
        <v>0</v>
      </c>
      <c r="AN11" s="468">
        <f>('TCO TO BE- SW'!M16+NPV(Faktory!$D$5,'TCO TO BE- SW'!M17:M25)+'TCO TO BE- SW'!M26+NPV(Faktory!$D$5,'TCO TO BE- SW'!M27:M35)+'TCO TO BE- SW'!M79+NPV(Faktory!$D$5,'TCO TO BE- SW'!M80:M88))</f>
        <v>0</v>
      </c>
      <c r="AO11" s="468">
        <f>('TCO TO BE- SW'!N16+NPV(Faktory!$D$5,'TCO TO BE- SW'!N17:N25)+'TCO TO BE- SW'!N26+NPV(Faktory!$D$5,'TCO TO BE- SW'!N27:N35)+'TCO TO BE- SW'!N79+NPV(Faktory!$D$5,'TCO TO BE- SW'!N80:N88))</f>
        <v>0</v>
      </c>
      <c r="AP11" s="468">
        <f>('TCO TO BE- SW'!O16+NPV(Faktory!$D$5,'TCO TO BE- SW'!O17:O25)+'TCO TO BE- SW'!O26+NPV(Faktory!$D$5,'TCO TO BE- SW'!O27:O35)+'TCO TO BE- SW'!O79+NPV(Faktory!$D$5,'TCO TO BE- SW'!O80:O88))</f>
        <v>0</v>
      </c>
      <c r="AQ11" s="468">
        <f>('TCO TO BE- SW'!P16+NPV(Faktory!$D$5,'TCO TO BE- SW'!P17:P25)+'TCO TO BE- SW'!P26+NPV(Faktory!$D$5,'TCO TO BE- SW'!P27:P35)+'TCO TO BE- SW'!P79+NPV(Faktory!$D$5,'TCO TO BE- SW'!P80:P88))</f>
        <v>0</v>
      </c>
      <c r="AR11" s="468">
        <f>('TCO TO BE- SW'!Q16+NPV(Faktory!$D$5,'TCO TO BE- SW'!Q17:Q25)+'TCO TO BE- SW'!Q26+NPV(Faktory!$D$5,'TCO TO BE- SW'!Q27:Q35)+'TCO TO BE- SW'!Q79+NPV(Faktory!$D$5,'TCO TO BE- SW'!Q80:Q88))</f>
        <v>0</v>
      </c>
      <c r="AS11" s="468">
        <f>('TCO TO BE- SW'!R16+NPV(Faktory!$D$5,'TCO TO BE- SW'!R17:R25)+'TCO TO BE- SW'!R26+NPV(Faktory!$D$5,'TCO TO BE- SW'!R27:R35)+'TCO TO BE- SW'!R79+NPV(Faktory!$D$5,'TCO TO BE- SW'!R80:R88))</f>
        <v>0</v>
      </c>
      <c r="AT11" s="468">
        <f>('TCO TO BE- SW'!S16+NPV(Faktory!$D$5,'TCO TO BE- SW'!S17:S25)+'TCO TO BE- SW'!S26+NPV(Faktory!$D$5,'TCO TO BE- SW'!S27:S35)+'TCO TO BE- SW'!S79+NPV(Faktory!$D$5,'TCO TO BE- SW'!S80:S88))</f>
        <v>0</v>
      </c>
      <c r="AU11" s="468">
        <f>('TCO TO BE- SW'!T16+NPV(Faktory!$D$5,'TCO TO BE- SW'!T17:T25)+'TCO TO BE- SW'!T26+NPV(Faktory!$D$5,'TCO TO BE- SW'!T27:T35)+'TCO TO BE- SW'!T79+NPV(Faktory!$D$5,'TCO TO BE- SW'!T80:T88))</f>
        <v>0</v>
      </c>
      <c r="AV11" s="468">
        <f>('TCO TO BE- SW'!U16+NPV(Faktory!$D$5,'TCO TO BE- SW'!U17:U25)+'TCO TO BE- SW'!U26+NPV(Faktory!$D$5,'TCO TO BE- SW'!U27:U35)+'TCO TO BE- SW'!U79+NPV(Faktory!$D$5,'TCO TO BE- SW'!U80:U88))</f>
        <v>0</v>
      </c>
      <c r="AW11" s="468">
        <f>('TCO TO BE- SW'!V16+NPV(Faktory!$D$5,'TCO TO BE- SW'!V17:V25)+'TCO TO BE- SW'!V26+NPV(Faktory!$D$5,'TCO TO BE- SW'!V27:V35)+'TCO TO BE- SW'!V79+NPV(Faktory!$D$5,'TCO TO BE- SW'!V80:V88))</f>
        <v>0</v>
      </c>
      <c r="AX11" s="468">
        <f>('TCO TO BE- SW'!W16+NPV(Faktory!$D$5,'TCO TO BE- SW'!W17:W25)+'TCO TO BE- SW'!W26+NPV(Faktory!$D$5,'TCO TO BE- SW'!W27:W35)+'TCO TO BE- SW'!W79+NPV(Faktory!$D$5,'TCO TO BE- SW'!W80:W88))</f>
        <v>0</v>
      </c>
      <c r="AY11" s="468">
        <f>('TCO TO BE- SW'!X16+NPV(Faktory!$D$5,'TCO TO BE- SW'!X17:X25)+'TCO TO BE- SW'!X26+NPV(Faktory!$D$5,'TCO TO BE- SW'!X27:X35)+'TCO TO BE- SW'!X79+NPV(Faktory!$D$5,'TCO TO BE- SW'!X80:X88))</f>
        <v>0</v>
      </c>
      <c r="AZ11" s="468">
        <f>('TCO TO BE- SW'!Y16+NPV(Faktory!$D$5,'TCO TO BE- SW'!Y17:Y25)+'TCO TO BE- SW'!Y26+NPV(Faktory!$D$5,'TCO TO BE- SW'!Y27:Y35)+'TCO TO BE- SW'!Y79+NPV(Faktory!$D$5,'TCO TO BE- SW'!Y80:Y88))</f>
        <v>0</v>
      </c>
      <c r="BA11" s="468">
        <f>('TCO TO BE- SW'!Z16+NPV(Faktory!$D$5,'TCO TO BE- SW'!Z17:Z25)+'TCO TO BE- SW'!Z26+NPV(Faktory!$D$5,'TCO TO BE- SW'!Z27:Z35)+'TCO TO BE- SW'!Z79+NPV(Faktory!$D$5,'TCO TO BE- SW'!Z80:Z88))</f>
        <v>0</v>
      </c>
    </row>
    <row r="12" spans="1:53">
      <c r="A12" s="456"/>
      <c r="B12" s="456"/>
      <c r="C12" s="457" t="s">
        <v>103</v>
      </c>
      <c r="D12" s="473">
        <f>SUM(E12:X12)</f>
        <v>0</v>
      </c>
      <c r="E12" s="468">
        <f>SUM('TCO TO BE - HW'!F15:F54)+SUM('TCO TO BE - HW'!F56:F65)+SUM('TCO TO BE - HW'!F76:F105)</f>
        <v>0</v>
      </c>
      <c r="F12" s="468">
        <f>SUM('TCO TO BE - HW'!G15:G54)+SUM('TCO TO BE - HW'!G56:G65)+SUM('TCO TO BE - HW'!G76:G105)</f>
        <v>0</v>
      </c>
      <c r="G12" s="468">
        <f>SUM('TCO TO BE - HW'!H15:H54)+SUM('TCO TO BE - HW'!H56:H65)+SUM('TCO TO BE - HW'!H76:H105)</f>
        <v>0</v>
      </c>
      <c r="H12" s="468">
        <f>SUM('TCO TO BE - HW'!I15:I54)+SUM('TCO TO BE - HW'!I56:I65)+SUM('TCO TO BE - HW'!I76:I105)</f>
        <v>0</v>
      </c>
      <c r="I12" s="468">
        <f>SUM('TCO TO BE - HW'!J15:J54)+SUM('TCO TO BE - HW'!J56:J65)+SUM('TCO TO BE - HW'!J76:J105)</f>
        <v>0</v>
      </c>
      <c r="J12" s="468">
        <f>SUM('TCO TO BE - HW'!K15:K54)+SUM('TCO TO BE - HW'!K56:K65)+SUM('TCO TO BE - HW'!K76:K105)</f>
        <v>0</v>
      </c>
      <c r="K12" s="468">
        <f>SUM('TCO TO BE - HW'!L15:L54)+SUM('TCO TO BE - HW'!L56:L65)+SUM('TCO TO BE - HW'!L76:L105)</f>
        <v>0</v>
      </c>
      <c r="L12" s="468">
        <f>SUM('TCO TO BE - HW'!M15:M54)+SUM('TCO TO BE - HW'!M56:M65)+SUM('TCO TO BE - HW'!M76:M105)</f>
        <v>0</v>
      </c>
      <c r="M12" s="468">
        <f>SUM('TCO TO BE - HW'!N15:N54)+SUM('TCO TO BE - HW'!N56:N65)+SUM('TCO TO BE - HW'!N76:N105)</f>
        <v>0</v>
      </c>
      <c r="N12" s="468">
        <f>SUM('TCO TO BE - HW'!O15:O54)+SUM('TCO TO BE - HW'!O56:O65)+SUM('TCO TO BE - HW'!O76:O105)</f>
        <v>0</v>
      </c>
      <c r="O12" s="468">
        <f>SUM('TCO TO BE - HW'!P15:P54)+SUM('TCO TO BE - HW'!P56:P65)+SUM('TCO TO BE - HW'!P76:P105)</f>
        <v>0</v>
      </c>
      <c r="P12" s="468">
        <f>SUM('TCO TO BE - HW'!Q15:Q54)+SUM('TCO TO BE - HW'!Q56:Q65)+SUM('TCO TO BE - HW'!Q76:Q105)</f>
        <v>0</v>
      </c>
      <c r="Q12" s="468">
        <f>SUM('TCO TO BE - HW'!R15:R54)+SUM('TCO TO BE - HW'!R56:R65)+SUM('TCO TO BE - HW'!R76:R105)</f>
        <v>0</v>
      </c>
      <c r="R12" s="468">
        <f>SUM('TCO TO BE - HW'!S15:S54)+SUM('TCO TO BE - HW'!S56:S65)+SUM('TCO TO BE - HW'!S76:S105)</f>
        <v>0</v>
      </c>
      <c r="S12" s="468">
        <f>SUM('TCO TO BE - HW'!T15:T54)+SUM('TCO TO BE - HW'!T56:T65)+SUM('TCO TO BE - HW'!T76:T105)</f>
        <v>0</v>
      </c>
      <c r="T12" s="468">
        <f>SUM('TCO TO BE - HW'!U15:U54)+SUM('TCO TO BE - HW'!U56:U65)+SUM('TCO TO BE - HW'!U76:U105)</f>
        <v>0</v>
      </c>
      <c r="U12" s="468">
        <f>SUM('TCO TO BE - HW'!V15:V54)+SUM('TCO TO BE - HW'!V56:V65)+SUM('TCO TO BE - HW'!V76:V105)</f>
        <v>0</v>
      </c>
      <c r="V12" s="468">
        <f>SUM('TCO TO BE - HW'!W15:W54)+SUM('TCO TO BE - HW'!W56:W65)+SUM('TCO TO BE - HW'!W76:W105)</f>
        <v>0</v>
      </c>
      <c r="W12" s="468">
        <f>SUM('TCO TO BE - HW'!X15:X54)+SUM('TCO TO BE - HW'!X56:X65)+SUM('TCO TO BE - HW'!X76:X105)</f>
        <v>0</v>
      </c>
      <c r="X12" s="468">
        <f>SUM('TCO TO BE - HW'!Y15:Y54)+SUM('TCO TO BE - HW'!Y56:Y65)+SUM('TCO TO BE - HW'!Y76:Y105)</f>
        <v>0</v>
      </c>
      <c r="Y12" s="468">
        <f>SUM('TCO TO BE - HW'!Z15:Z54)+SUM('TCO TO BE - HW'!Z56:Z65)+SUM('TCO TO BE - HW'!Z76:Z105)</f>
        <v>0</v>
      </c>
      <c r="AC12" s="456"/>
      <c r="AD12" s="456"/>
      <c r="AE12" s="457" t="s">
        <v>103</v>
      </c>
      <c r="AF12" s="468">
        <f>SUM(AG12:AZ12)</f>
        <v>0</v>
      </c>
      <c r="AG12" s="468">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68">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68">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68">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68">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68">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68">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68">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68">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68">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68">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68">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68">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68">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68">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68">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68">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68">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68">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68">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68">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56"/>
      <c r="B13" s="454" t="s">
        <v>105</v>
      </c>
      <c r="C13" s="454"/>
      <c r="D13" s="455">
        <f>SUM(E13:Y13)</f>
        <v>326304</v>
      </c>
      <c r="E13" s="455">
        <f>'TCO TO BE- SW'!F150</f>
        <v>56535.862292051759</v>
      </c>
      <c r="F13" s="455">
        <f>'TCO TO BE- SW'!G150</f>
        <v>3995.8669131238448</v>
      </c>
      <c r="G13" s="455">
        <f>'TCO TO BE- SW'!H150</f>
        <v>3901.6247689463958</v>
      </c>
      <c r="H13" s="455">
        <f>'TCO TO BE- SW'!I150</f>
        <v>2337.2051756007395</v>
      </c>
      <c r="I13" s="455">
        <f>'TCO TO BE- SW'!J150</f>
        <v>3901.6247689463958</v>
      </c>
      <c r="J13" s="455">
        <f>'TCO TO BE- SW'!K150</f>
        <v>782.20979667282813</v>
      </c>
      <c r="K13" s="455">
        <f>'TCO TO BE- SW'!L150</f>
        <v>90378.216266173768</v>
      </c>
      <c r="L13" s="455">
        <f>'TCO TO BE- SW'!M150</f>
        <v>18132.188539741219</v>
      </c>
      <c r="M13" s="455">
        <f>'TCO TO BE- SW'!N150</f>
        <v>8971.8521256931599</v>
      </c>
      <c r="N13" s="455">
        <f>'TCO TO BE- SW'!O150</f>
        <v>73612.538817005538</v>
      </c>
      <c r="O13" s="455">
        <f>'TCO TO BE- SW'!P150</f>
        <v>63754.810536044373</v>
      </c>
      <c r="P13" s="455">
        <f>'TCO TO BE- SW'!Q150</f>
        <v>0</v>
      </c>
      <c r="Q13" s="455">
        <f>'TCO TO BE- SW'!R150</f>
        <v>0</v>
      </c>
      <c r="R13" s="455">
        <f>'TCO TO BE- SW'!S150</f>
        <v>0</v>
      </c>
      <c r="S13" s="455">
        <f>'TCO TO BE- SW'!T150</f>
        <v>0</v>
      </c>
      <c r="T13" s="455">
        <f>'TCO TO BE- SW'!U150</f>
        <v>0</v>
      </c>
      <c r="U13" s="455">
        <f>'TCO TO BE- SW'!V150</f>
        <v>0</v>
      </c>
      <c r="V13" s="455">
        <f>'TCO TO BE- SW'!W150</f>
        <v>0</v>
      </c>
      <c r="W13" s="455">
        <f>'TCO TO BE- SW'!X150</f>
        <v>0</v>
      </c>
      <c r="X13" s="455">
        <f>'TCO TO BE- SW'!Y150</f>
        <v>0</v>
      </c>
      <c r="Y13" s="455">
        <f>'TCO TO BE- SW'!Z150</f>
        <v>0</v>
      </c>
      <c r="AC13" s="456"/>
      <c r="AD13" s="454" t="s">
        <v>105</v>
      </c>
      <c r="AE13" s="454"/>
      <c r="AF13" s="455">
        <f>SUM(AG13:BA13)</f>
        <v>314021.3551020408</v>
      </c>
      <c r="AG13" s="458">
        <f>'TCO TO BE- SW'!F151+NPV(Faktory!$D$5,'TCO TO BE- SW'!F152:F160)+'TCO TO BE- SW'!F161+NPV(Faktory!$D$5,'TCO TO BE- SW'!F162:F170)</f>
        <v>54407.75500396092</v>
      </c>
      <c r="AH13" s="458">
        <f>'TCO TO BE- SW'!G151+NPV(Faktory!$D$5,'TCO TO BE- SW'!G152:G160)+'TCO TO BE- SW'!G161+NPV(Faktory!$D$5,'TCO TO BE- SW'!G162:G170)</f>
        <v>3845.4555962126069</v>
      </c>
      <c r="AI13" s="458">
        <f>'TCO TO BE- SW'!H151+NPV(Faktory!$D$5,'TCO TO BE- SW'!H152:H160)+'TCO TO BE- SW'!H161+NPV(Faktory!$D$5,'TCO TO BE- SW'!H162:H170)</f>
        <v>3754.7608887547622</v>
      </c>
      <c r="AJ13" s="458">
        <f>'TCO TO BE- SW'!I151+NPV(Faktory!$D$5,'TCO TO BE- SW'!I152:I160)+'TCO TO BE- SW'!I161+NPV(Faktory!$D$5,'TCO TO BE- SW'!I162:I170)</f>
        <v>2249.2287449545438</v>
      </c>
      <c r="AK13" s="458">
        <f>'TCO TO BE- SW'!J151+NPV(Faktory!$D$5,'TCO TO BE- SW'!J152:J160)+'TCO TO BE- SW'!J161+NPV(Faktory!$D$5,'TCO TO BE- SW'!J162:J170)</f>
        <v>3754.7608887547622</v>
      </c>
      <c r="AL13" s="458">
        <f>'TCO TO BE- SW'!K151+NPV(Faktory!$D$5,'TCO TO BE- SW'!K152:K160)+'TCO TO BE- SW'!K161+NPV(Faktory!$D$5,'TCO TO BE- SW'!K162:K170)</f>
        <v>752.76607190010941</v>
      </c>
      <c r="AM13" s="458">
        <f>'TCO TO BE- SW'!L151+NPV(Faktory!$D$5,'TCO TO BE- SW'!L152:L160)+'TCO TO BE- SW'!L161+NPV(Faktory!$D$5,'TCO TO BE- SW'!L162:L170)</f>
        <v>86976.224452072885</v>
      </c>
      <c r="AN13" s="458">
        <f>'TCO TO BE- SW'!M151+NPV(Faktory!$D$5,'TCO TO BE- SW'!M152:M160)+'TCO TO BE- SW'!M161+NPV(Faktory!$D$5,'TCO TO BE- SW'!M162:M170)</f>
        <v>17449.66171488928</v>
      </c>
      <c r="AO13" s="458">
        <f>'TCO TO BE- SW'!N151+NPV(Faktory!$D$5,'TCO TO BE- SW'!N152:N160)+'TCO TO BE- SW'!N161+NPV(Faktory!$D$5,'TCO TO BE- SW'!N162:N170)</f>
        <v>8634.1361499867962</v>
      </c>
      <c r="AP13" s="458">
        <f>'TCO TO BE- SW'!O151+NPV(Faktory!$D$5,'TCO TO BE- SW'!O152:O160)+'TCO TO BE- SW'!O161+NPV(Faktory!$D$5,'TCO TO BE- SW'!O162:O170)</f>
        <v>70841.635995322329</v>
      </c>
      <c r="AQ13" s="458">
        <f>'TCO TO BE- SW'!P151+NPV(Faktory!$D$5,'TCO TO BE- SW'!P152:P160)+'TCO TO BE- SW'!P161+NPV(Faktory!$D$5,'TCO TO BE- SW'!P162:P170)</f>
        <v>61354.969595231814</v>
      </c>
      <c r="AR13" s="458">
        <f>'TCO TO BE- SW'!Q151+NPV(Faktory!$D$5,'TCO TO BE- SW'!Q152:Q160)+'TCO TO BE- SW'!Q161+NPV(Faktory!$D$5,'TCO TO BE- SW'!Q162:Q170)</f>
        <v>0</v>
      </c>
      <c r="AS13" s="458">
        <f>'TCO TO BE- SW'!R151+NPV(Faktory!$D$5,'TCO TO BE- SW'!R152:R160)+'TCO TO BE- SW'!R161+NPV(Faktory!$D$5,'TCO TO BE- SW'!R162:R170)</f>
        <v>0</v>
      </c>
      <c r="AT13" s="458">
        <f>'TCO TO BE- SW'!S151+NPV(Faktory!$D$5,'TCO TO BE- SW'!S152:S160)+'TCO TO BE- SW'!S161+NPV(Faktory!$D$5,'TCO TO BE- SW'!S162:S170)</f>
        <v>0</v>
      </c>
      <c r="AU13" s="458">
        <f>'TCO TO BE- SW'!T151+NPV(Faktory!$D$5,'TCO TO BE- SW'!T152:T160)+'TCO TO BE- SW'!T161+NPV(Faktory!$D$5,'TCO TO BE- SW'!T162:T170)</f>
        <v>0</v>
      </c>
      <c r="AV13" s="458">
        <f>'TCO TO BE- SW'!U151+NPV(Faktory!$D$5,'TCO TO BE- SW'!U152:U160)+'TCO TO BE- SW'!U161+NPV(Faktory!$D$5,'TCO TO BE- SW'!U162:U170)</f>
        <v>0</v>
      </c>
      <c r="AW13" s="458">
        <f>'TCO TO BE- SW'!V151+NPV(Faktory!$D$5,'TCO TO BE- SW'!V152:V160)+'TCO TO BE- SW'!V161+NPV(Faktory!$D$5,'TCO TO BE- SW'!V162:V170)</f>
        <v>0</v>
      </c>
      <c r="AX13" s="458">
        <f>'TCO TO BE- SW'!W151+NPV(Faktory!$D$5,'TCO TO BE- SW'!W152:W160)+'TCO TO BE- SW'!W161+NPV(Faktory!$D$5,'TCO TO BE- SW'!W162:W170)</f>
        <v>0</v>
      </c>
      <c r="AY13" s="458">
        <f>'TCO TO BE- SW'!X151+NPV(Faktory!$D$5,'TCO TO BE- SW'!X152:X160)+'TCO TO BE- SW'!X161+NPV(Faktory!$D$5,'TCO TO BE- SW'!X162:X170)</f>
        <v>0</v>
      </c>
      <c r="AZ13" s="458">
        <f>'TCO TO BE- SW'!Y151+NPV(Faktory!$D$5,'TCO TO BE- SW'!Y152:Y160)+'TCO TO BE- SW'!Y161+NPV(Faktory!$D$5,'TCO TO BE- SW'!Y162:Y170)</f>
        <v>0</v>
      </c>
      <c r="BA13" s="458">
        <f>'TCO TO BE- SW'!Z151+NPV(Faktory!$D$5,'TCO TO BE- SW'!Z152:Z160)+'TCO TO BE- SW'!Z161+NPV(Faktory!$D$5,'TCO TO BE- SW'!Z162:Z170)</f>
        <v>0</v>
      </c>
    </row>
    <row r="14" spans="1:53">
      <c r="A14" s="456"/>
      <c r="B14" s="454" t="s">
        <v>106</v>
      </c>
      <c r="C14" s="454"/>
      <c r="D14" s="455">
        <f>SUM(E14:Y14)</f>
        <v>0</v>
      </c>
      <c r="E14" s="455">
        <f>'TCO TO BE- SW'!F171</f>
        <v>0</v>
      </c>
      <c r="F14" s="455">
        <f>'TCO TO BE- SW'!G171</f>
        <v>0</v>
      </c>
      <c r="G14" s="455">
        <f>'TCO TO BE- SW'!H171</f>
        <v>0</v>
      </c>
      <c r="H14" s="455">
        <f>'TCO TO BE- SW'!I171</f>
        <v>0</v>
      </c>
      <c r="I14" s="455">
        <f>'TCO TO BE- SW'!J171</f>
        <v>0</v>
      </c>
      <c r="J14" s="455">
        <f>'TCO TO BE- SW'!K171</f>
        <v>0</v>
      </c>
      <c r="K14" s="455">
        <f>'TCO TO BE- SW'!L171</f>
        <v>0</v>
      </c>
      <c r="L14" s="455">
        <f>'TCO TO BE- SW'!M171</f>
        <v>0</v>
      </c>
      <c r="M14" s="455">
        <f>'TCO TO BE- SW'!N171</f>
        <v>0</v>
      </c>
      <c r="N14" s="455">
        <f>'TCO TO BE- SW'!O171</f>
        <v>0</v>
      </c>
      <c r="O14" s="455">
        <f>'TCO TO BE- SW'!P171</f>
        <v>0</v>
      </c>
      <c r="P14" s="455">
        <f>'TCO TO BE- SW'!Q171</f>
        <v>0</v>
      </c>
      <c r="Q14" s="455">
        <f>'TCO TO BE- SW'!R171</f>
        <v>0</v>
      </c>
      <c r="R14" s="455">
        <f>'TCO TO BE- SW'!S171</f>
        <v>0</v>
      </c>
      <c r="S14" s="455">
        <f>'TCO TO BE- SW'!T171</f>
        <v>0</v>
      </c>
      <c r="T14" s="455">
        <f>'TCO TO BE- SW'!U171</f>
        <v>0</v>
      </c>
      <c r="U14" s="455">
        <f>'TCO TO BE- SW'!V171</f>
        <v>0</v>
      </c>
      <c r="V14" s="455">
        <f>'TCO TO BE- SW'!W171</f>
        <v>0</v>
      </c>
      <c r="W14" s="455">
        <f>'TCO TO BE- SW'!X171</f>
        <v>0</v>
      </c>
      <c r="X14" s="455">
        <f>'TCO TO BE- SW'!Y171</f>
        <v>0</v>
      </c>
      <c r="Y14" s="455">
        <f>'TCO TO BE- SW'!Z171</f>
        <v>0</v>
      </c>
      <c r="AC14" s="456"/>
      <c r="AD14" s="454" t="s">
        <v>106</v>
      </c>
      <c r="AE14" s="454"/>
      <c r="AF14" s="455">
        <f>SUM(AG14:BA14)</f>
        <v>0</v>
      </c>
      <c r="AG14" s="458">
        <f>'TCO TO BE- SW'!F172+NPV(Faktory!$D$5,'TCO TO BE- SW'!F173:F181)+'TCO TO BE- SW'!F182+NPV(Faktory!$D$5,'TCO TO BE- SW'!F183:F191)</f>
        <v>0</v>
      </c>
      <c r="AH14" s="458">
        <f>'TCO TO BE- SW'!G172+NPV(Faktory!$D$5,'TCO TO BE- SW'!G173:G181)+'TCO TO BE- SW'!G182+NPV(Faktory!$D$5,'TCO TO BE- SW'!G183:G191)</f>
        <v>0</v>
      </c>
      <c r="AI14" s="458">
        <f>'TCO TO BE- SW'!H172+NPV(Faktory!$D$5,'TCO TO BE- SW'!H173:H181)+'TCO TO BE- SW'!H182+NPV(Faktory!$D$5,'TCO TO BE- SW'!H183:H191)</f>
        <v>0</v>
      </c>
      <c r="AJ14" s="458">
        <f>'TCO TO BE- SW'!I172+NPV(Faktory!$D$5,'TCO TO BE- SW'!I173:I181)+'TCO TO BE- SW'!I182+NPV(Faktory!$D$5,'TCO TO BE- SW'!I183:I191)</f>
        <v>0</v>
      </c>
      <c r="AK14" s="458">
        <f>'TCO TO BE- SW'!J172+NPV(Faktory!$D$5,'TCO TO BE- SW'!J173:J181)+'TCO TO BE- SW'!J182+NPV(Faktory!$D$5,'TCO TO BE- SW'!J183:J191)</f>
        <v>0</v>
      </c>
      <c r="AL14" s="458">
        <f>'TCO TO BE- SW'!K172+NPV(Faktory!$D$5,'TCO TO BE- SW'!K173:K181)+'TCO TO BE- SW'!K182+NPV(Faktory!$D$5,'TCO TO BE- SW'!K183:K191)</f>
        <v>0</v>
      </c>
      <c r="AM14" s="458">
        <f>'TCO TO BE- SW'!L172+NPV(Faktory!$D$5,'TCO TO BE- SW'!L173:L181)+'TCO TO BE- SW'!L182+NPV(Faktory!$D$5,'TCO TO BE- SW'!L183:L191)</f>
        <v>0</v>
      </c>
      <c r="AN14" s="458">
        <f>'TCO TO BE- SW'!M172+NPV(Faktory!$D$5,'TCO TO BE- SW'!M173:M181)+'TCO TO BE- SW'!M182+NPV(Faktory!$D$5,'TCO TO BE- SW'!M183:M191)</f>
        <v>0</v>
      </c>
      <c r="AO14" s="458">
        <f>'TCO TO BE- SW'!N172+NPV(Faktory!$D$5,'TCO TO BE- SW'!N173:N181)+'TCO TO BE- SW'!N182+NPV(Faktory!$D$5,'TCO TO BE- SW'!N183:N191)</f>
        <v>0</v>
      </c>
      <c r="AP14" s="458">
        <f>'TCO TO BE- SW'!O172+NPV(Faktory!$D$5,'TCO TO BE- SW'!O173:O181)+'TCO TO BE- SW'!O182+NPV(Faktory!$D$5,'TCO TO BE- SW'!O183:O191)</f>
        <v>0</v>
      </c>
      <c r="AQ14" s="458">
        <f>'TCO TO BE- SW'!P172+NPV(Faktory!$D$5,'TCO TO BE- SW'!P173:P181)+'TCO TO BE- SW'!P182+NPV(Faktory!$D$5,'TCO TO BE- SW'!P183:P191)</f>
        <v>0</v>
      </c>
      <c r="AR14" s="458">
        <f>'TCO TO BE- SW'!Q172+NPV(Faktory!$D$5,'TCO TO BE- SW'!Q173:Q181)+'TCO TO BE- SW'!Q182+NPV(Faktory!$D$5,'TCO TO BE- SW'!Q183:Q191)</f>
        <v>0</v>
      </c>
      <c r="AS14" s="458">
        <f>'TCO TO BE- SW'!R172+NPV(Faktory!$D$5,'TCO TO BE- SW'!R173:R181)+'TCO TO BE- SW'!R182+NPV(Faktory!$D$5,'TCO TO BE- SW'!R183:R191)</f>
        <v>0</v>
      </c>
      <c r="AT14" s="458">
        <f>'TCO TO BE- SW'!S172+NPV(Faktory!$D$5,'TCO TO BE- SW'!S173:S181)+'TCO TO BE- SW'!S182+NPV(Faktory!$D$5,'TCO TO BE- SW'!S183:S191)</f>
        <v>0</v>
      </c>
      <c r="AU14" s="458">
        <f>'TCO TO BE- SW'!T172+NPV(Faktory!$D$5,'TCO TO BE- SW'!T173:T181)+'TCO TO BE- SW'!T182+NPV(Faktory!$D$5,'TCO TO BE- SW'!T183:T191)</f>
        <v>0</v>
      </c>
      <c r="AV14" s="458">
        <f>'TCO TO BE- SW'!U172+NPV(Faktory!$D$5,'TCO TO BE- SW'!U173:U181)+'TCO TO BE- SW'!U182+NPV(Faktory!$D$5,'TCO TO BE- SW'!U183:U191)</f>
        <v>0</v>
      </c>
      <c r="AW14" s="458">
        <f>'TCO TO BE- SW'!V172+NPV(Faktory!$D$5,'TCO TO BE- SW'!V173:V181)+'TCO TO BE- SW'!V182+NPV(Faktory!$D$5,'TCO TO BE- SW'!V183:V191)</f>
        <v>0</v>
      </c>
      <c r="AX14" s="458">
        <f>'TCO TO BE- SW'!W172+NPV(Faktory!$D$5,'TCO TO BE- SW'!W173:W181)+'TCO TO BE- SW'!W182+NPV(Faktory!$D$5,'TCO TO BE- SW'!W183:W191)</f>
        <v>0</v>
      </c>
      <c r="AY14" s="458">
        <f>'TCO TO BE- SW'!X172+NPV(Faktory!$D$5,'TCO TO BE- SW'!X173:X181)+'TCO TO BE- SW'!X182+NPV(Faktory!$D$5,'TCO TO BE- SW'!X183:X191)</f>
        <v>0</v>
      </c>
      <c r="AZ14" s="458">
        <f>'TCO TO BE- SW'!Y172+NPV(Faktory!$D$5,'TCO TO BE- SW'!Y173:Y181)+'TCO TO BE- SW'!Y182+NPV(Faktory!$D$5,'TCO TO BE- SW'!Y183:Y191)</f>
        <v>0</v>
      </c>
      <c r="BA14" s="458">
        <f>'TCO TO BE- SW'!Z172+NPV(Faktory!$D$5,'TCO TO BE- SW'!Z173:Z181)+'TCO TO BE- SW'!Z182+NPV(Faktory!$D$5,'TCO TO BE- SW'!Z183:Z191)</f>
        <v>0</v>
      </c>
    </row>
    <row r="15" spans="1:53">
      <c r="A15" s="451" t="s">
        <v>107</v>
      </c>
      <c r="B15" s="451"/>
      <c r="C15" s="451"/>
      <c r="D15" s="459">
        <f>SUM(E15:X15)</f>
        <v>0</v>
      </c>
      <c r="E15" s="452">
        <f>E16+E19</f>
        <v>0</v>
      </c>
      <c r="F15" s="452">
        <f t="shared" ref="F15:Y15" si="3">F16+F19</f>
        <v>0</v>
      </c>
      <c r="G15" s="452">
        <f t="shared" si="3"/>
        <v>0</v>
      </c>
      <c r="H15" s="452">
        <f t="shared" si="3"/>
        <v>0</v>
      </c>
      <c r="I15" s="452">
        <f t="shared" si="3"/>
        <v>0</v>
      </c>
      <c r="J15" s="452">
        <f t="shared" si="3"/>
        <v>0</v>
      </c>
      <c r="K15" s="452">
        <f t="shared" si="3"/>
        <v>0</v>
      </c>
      <c r="L15" s="452">
        <f t="shared" si="3"/>
        <v>0</v>
      </c>
      <c r="M15" s="452">
        <f t="shared" si="3"/>
        <v>0</v>
      </c>
      <c r="N15" s="452">
        <f t="shared" si="3"/>
        <v>0</v>
      </c>
      <c r="O15" s="452">
        <f t="shared" si="3"/>
        <v>0</v>
      </c>
      <c r="P15" s="452">
        <f t="shared" si="3"/>
        <v>0</v>
      </c>
      <c r="Q15" s="452">
        <f t="shared" si="3"/>
        <v>0</v>
      </c>
      <c r="R15" s="452">
        <f t="shared" si="3"/>
        <v>0</v>
      </c>
      <c r="S15" s="452">
        <f t="shared" si="3"/>
        <v>0</v>
      </c>
      <c r="T15" s="452">
        <f t="shared" si="3"/>
        <v>0</v>
      </c>
      <c r="U15" s="452">
        <f t="shared" si="3"/>
        <v>0</v>
      </c>
      <c r="V15" s="452">
        <f t="shared" si="3"/>
        <v>0</v>
      </c>
      <c r="W15" s="452">
        <f t="shared" si="3"/>
        <v>0</v>
      </c>
      <c r="X15" s="452">
        <f t="shared" si="3"/>
        <v>0</v>
      </c>
      <c r="Y15" s="452">
        <f t="shared" si="3"/>
        <v>0</v>
      </c>
      <c r="AC15" s="451" t="s">
        <v>107</v>
      </c>
      <c r="AD15" s="451"/>
      <c r="AE15" s="451"/>
      <c r="AF15" s="459">
        <f>SUM(AG15:AZ15)</f>
        <v>0</v>
      </c>
      <c r="AG15" s="459">
        <f>AG16+AG19</f>
        <v>0</v>
      </c>
      <c r="AH15" s="459">
        <f t="shared" ref="AH15:BA15" si="4">AH16+AH19</f>
        <v>0</v>
      </c>
      <c r="AI15" s="459">
        <f t="shared" si="4"/>
        <v>0</v>
      </c>
      <c r="AJ15" s="459">
        <f t="shared" si="4"/>
        <v>0</v>
      </c>
      <c r="AK15" s="459">
        <f t="shared" si="4"/>
        <v>0</v>
      </c>
      <c r="AL15" s="459">
        <f t="shared" si="4"/>
        <v>0</v>
      </c>
      <c r="AM15" s="459">
        <f t="shared" si="4"/>
        <v>0</v>
      </c>
      <c r="AN15" s="459">
        <f t="shared" si="4"/>
        <v>0</v>
      </c>
      <c r="AO15" s="459">
        <f t="shared" si="4"/>
        <v>0</v>
      </c>
      <c r="AP15" s="459">
        <f t="shared" si="4"/>
        <v>0</v>
      </c>
      <c r="AQ15" s="459">
        <f t="shared" si="4"/>
        <v>0</v>
      </c>
      <c r="AR15" s="459">
        <f t="shared" si="4"/>
        <v>0</v>
      </c>
      <c r="AS15" s="459">
        <f t="shared" si="4"/>
        <v>0</v>
      </c>
      <c r="AT15" s="459">
        <f t="shared" si="4"/>
        <v>0</v>
      </c>
      <c r="AU15" s="459">
        <f t="shared" si="4"/>
        <v>0</v>
      </c>
      <c r="AV15" s="459">
        <f t="shared" si="4"/>
        <v>0</v>
      </c>
      <c r="AW15" s="459">
        <f t="shared" si="4"/>
        <v>0</v>
      </c>
      <c r="AX15" s="459">
        <f t="shared" si="4"/>
        <v>0</v>
      </c>
      <c r="AY15" s="459">
        <f t="shared" si="4"/>
        <v>0</v>
      </c>
      <c r="AZ15" s="459">
        <f t="shared" si="4"/>
        <v>0</v>
      </c>
      <c r="BA15" s="459">
        <f t="shared" si="4"/>
        <v>0</v>
      </c>
    </row>
    <row r="16" spans="1:53">
      <c r="A16" s="453"/>
      <c r="B16" s="454" t="s">
        <v>108</v>
      </c>
      <c r="C16" s="454"/>
      <c r="D16" s="455">
        <f>SUM(E16:X16)</f>
        <v>0</v>
      </c>
      <c r="E16" s="455">
        <f>E17+E18</f>
        <v>0</v>
      </c>
      <c r="F16" s="455">
        <f t="shared" ref="F16:Y16" si="5">F17+F18</f>
        <v>0</v>
      </c>
      <c r="G16" s="455">
        <f t="shared" si="5"/>
        <v>0</v>
      </c>
      <c r="H16" s="455">
        <f t="shared" si="5"/>
        <v>0</v>
      </c>
      <c r="I16" s="455">
        <f t="shared" si="5"/>
        <v>0</v>
      </c>
      <c r="J16" s="455">
        <f t="shared" si="5"/>
        <v>0</v>
      </c>
      <c r="K16" s="455">
        <f t="shared" si="5"/>
        <v>0</v>
      </c>
      <c r="L16" s="455">
        <f t="shared" si="5"/>
        <v>0</v>
      </c>
      <c r="M16" s="455">
        <f t="shared" si="5"/>
        <v>0</v>
      </c>
      <c r="N16" s="455">
        <f t="shared" si="5"/>
        <v>0</v>
      </c>
      <c r="O16" s="455">
        <f t="shared" si="5"/>
        <v>0</v>
      </c>
      <c r="P16" s="455">
        <f t="shared" si="5"/>
        <v>0</v>
      </c>
      <c r="Q16" s="455">
        <f t="shared" si="5"/>
        <v>0</v>
      </c>
      <c r="R16" s="455">
        <f t="shared" si="5"/>
        <v>0</v>
      </c>
      <c r="S16" s="455">
        <f t="shared" si="5"/>
        <v>0</v>
      </c>
      <c r="T16" s="455">
        <f t="shared" si="5"/>
        <v>0</v>
      </c>
      <c r="U16" s="455">
        <f t="shared" si="5"/>
        <v>0</v>
      </c>
      <c r="V16" s="455">
        <f t="shared" si="5"/>
        <v>0</v>
      </c>
      <c r="W16" s="455">
        <f t="shared" si="5"/>
        <v>0</v>
      </c>
      <c r="X16" s="455">
        <f t="shared" si="5"/>
        <v>0</v>
      </c>
      <c r="Y16" s="455">
        <f t="shared" si="5"/>
        <v>0</v>
      </c>
      <c r="AC16" s="453"/>
      <c r="AD16" s="454" t="s">
        <v>108</v>
      </c>
      <c r="AE16" s="454"/>
      <c r="AF16" s="455">
        <f>SUM(AG16:AZ16)</f>
        <v>0</v>
      </c>
      <c r="AG16" s="455">
        <f>AG17+AG18</f>
        <v>0</v>
      </c>
      <c r="AH16" s="455">
        <f t="shared" ref="AH16:BA16" si="6">AH17+AH18</f>
        <v>0</v>
      </c>
      <c r="AI16" s="455">
        <f t="shared" si="6"/>
        <v>0</v>
      </c>
      <c r="AJ16" s="455">
        <f t="shared" si="6"/>
        <v>0</v>
      </c>
      <c r="AK16" s="455">
        <f t="shared" si="6"/>
        <v>0</v>
      </c>
      <c r="AL16" s="455">
        <f t="shared" si="6"/>
        <v>0</v>
      </c>
      <c r="AM16" s="455">
        <f t="shared" si="6"/>
        <v>0</v>
      </c>
      <c r="AN16" s="455">
        <f t="shared" si="6"/>
        <v>0</v>
      </c>
      <c r="AO16" s="455">
        <f t="shared" si="6"/>
        <v>0</v>
      </c>
      <c r="AP16" s="455">
        <f t="shared" si="6"/>
        <v>0</v>
      </c>
      <c r="AQ16" s="455">
        <f t="shared" si="6"/>
        <v>0</v>
      </c>
      <c r="AR16" s="455">
        <f t="shared" si="6"/>
        <v>0</v>
      </c>
      <c r="AS16" s="455">
        <f t="shared" si="6"/>
        <v>0</v>
      </c>
      <c r="AT16" s="455">
        <f t="shared" si="6"/>
        <v>0</v>
      </c>
      <c r="AU16" s="455">
        <f t="shared" si="6"/>
        <v>0</v>
      </c>
      <c r="AV16" s="455">
        <f t="shared" si="6"/>
        <v>0</v>
      </c>
      <c r="AW16" s="455">
        <f t="shared" si="6"/>
        <v>0</v>
      </c>
      <c r="AX16" s="455">
        <f t="shared" si="6"/>
        <v>0</v>
      </c>
      <c r="AY16" s="455">
        <f t="shared" si="6"/>
        <v>0</v>
      </c>
      <c r="AZ16" s="455">
        <f t="shared" si="6"/>
        <v>0</v>
      </c>
      <c r="BA16" s="455">
        <f t="shared" si="6"/>
        <v>0</v>
      </c>
    </row>
    <row r="17" spans="1:53">
      <c r="A17" s="456"/>
      <c r="B17" s="456"/>
      <c r="C17" s="457" t="s">
        <v>109</v>
      </c>
      <c r="D17" s="473">
        <f>SUM(E17:X17)</f>
        <v>0</v>
      </c>
      <c r="E17" s="473">
        <f>SUM('Parametre - Agendové IS'!I116:I125)</f>
        <v>0</v>
      </c>
      <c r="F17" s="473">
        <f>SUM('Parametre - Agendové IS'!J116:J125)</f>
        <v>0</v>
      </c>
      <c r="G17" s="473">
        <f>SUM('Parametre - Agendové IS'!K116:K125)</f>
        <v>0</v>
      </c>
      <c r="H17" s="473">
        <f>SUM('Parametre - Agendové IS'!L116:L125)</f>
        <v>0</v>
      </c>
      <c r="I17" s="473">
        <f>SUM('Parametre - Agendové IS'!M116:M125)</f>
        <v>0</v>
      </c>
      <c r="J17" s="473">
        <f>SUM('Parametre - Agendové IS'!N116:N125)</f>
        <v>0</v>
      </c>
      <c r="K17" s="473">
        <f>SUM('Parametre - Agendové IS'!O116:O125)</f>
        <v>0</v>
      </c>
      <c r="L17" s="473">
        <f>SUM('Parametre - Agendové IS'!P116:P125)</f>
        <v>0</v>
      </c>
      <c r="M17" s="473">
        <f>SUM('Parametre - Agendové IS'!Q116:Q125)</f>
        <v>0</v>
      </c>
      <c r="N17" s="473">
        <f>SUM('Parametre - Agendové IS'!R116:R125)</f>
        <v>0</v>
      </c>
      <c r="O17" s="473">
        <f>SUM('Parametre - Agendové IS'!S116:S125)</f>
        <v>0</v>
      </c>
      <c r="P17" s="473">
        <f>SUM('Parametre - Agendové IS'!T116:T125)</f>
        <v>0</v>
      </c>
      <c r="Q17" s="473">
        <f>SUM('Parametre - Agendové IS'!U116:U125)</f>
        <v>0</v>
      </c>
      <c r="R17" s="473">
        <f>SUM('Parametre - Agendové IS'!V116:V125)</f>
        <v>0</v>
      </c>
      <c r="S17" s="473">
        <f>SUM('Parametre - Agendové IS'!W116:W125)</f>
        <v>0</v>
      </c>
      <c r="T17" s="473">
        <f>SUM('Parametre - Agendové IS'!X116:X125)</f>
        <v>0</v>
      </c>
      <c r="U17" s="473">
        <f>SUM('Parametre - Agendové IS'!Y116:Y125)</f>
        <v>0</v>
      </c>
      <c r="V17" s="473">
        <f>SUM('Parametre - Agendové IS'!Z116:Z125)</f>
        <v>0</v>
      </c>
      <c r="W17" s="473">
        <f>SUM('Parametre - Agendové IS'!AA116:AA125)</f>
        <v>0</v>
      </c>
      <c r="X17" s="473">
        <f>SUM('Parametre - Agendové IS'!AB116:AB125)</f>
        <v>0</v>
      </c>
      <c r="Y17" s="473">
        <f>SUM('Parametre - Agendové IS'!AC116:AC125)</f>
        <v>0</v>
      </c>
      <c r="AC17" s="456"/>
      <c r="AD17" s="456"/>
      <c r="AE17" s="457" t="s">
        <v>109</v>
      </c>
      <c r="AF17" s="468">
        <f>SUM(AG17:AZ17)</f>
        <v>0</v>
      </c>
      <c r="AG17" s="468">
        <f>'Parametre - Agendové IS'!I116+NPV(Faktory!$D$3,'Parametre - Agendové IS'!I117:I125)</f>
        <v>0</v>
      </c>
      <c r="AH17" s="468">
        <f>'Parametre - Agendové IS'!J116+NPV(Faktory!$D$3,'Parametre - Agendové IS'!J117:J125)</f>
        <v>0</v>
      </c>
      <c r="AI17" s="468">
        <f>'Parametre - Agendové IS'!K116+NPV(Faktory!$D$3,'Parametre - Agendové IS'!K117:K125)</f>
        <v>0</v>
      </c>
      <c r="AJ17" s="468">
        <f>'Parametre - Agendové IS'!L116+NPV(Faktory!$D$3,'Parametre - Agendové IS'!L117:L125)</f>
        <v>0</v>
      </c>
      <c r="AK17" s="468">
        <f>'Parametre - Agendové IS'!M116+NPV(Faktory!$D$3,'Parametre - Agendové IS'!M117:M125)</f>
        <v>0</v>
      </c>
      <c r="AL17" s="468">
        <f>'Parametre - Agendové IS'!N116+NPV(Faktory!$D$3,'Parametre - Agendové IS'!N117:N125)</f>
        <v>0</v>
      </c>
      <c r="AM17" s="468">
        <f>'Parametre - Agendové IS'!O116+NPV(Faktory!$D$3,'Parametre - Agendové IS'!O117:O125)</f>
        <v>0</v>
      </c>
      <c r="AN17" s="468">
        <f>'Parametre - Agendové IS'!P116+NPV(Faktory!$D$3,'Parametre - Agendové IS'!P117:P125)</f>
        <v>0</v>
      </c>
      <c r="AO17" s="468">
        <f>'Parametre - Agendové IS'!Q116+NPV(Faktory!$D$3,'Parametre - Agendové IS'!Q117:Q125)</f>
        <v>0</v>
      </c>
      <c r="AP17" s="468">
        <f>'Parametre - Agendové IS'!R116+NPV(Faktory!$D$3,'Parametre - Agendové IS'!R117:R125)</f>
        <v>0</v>
      </c>
      <c r="AQ17" s="468">
        <f>'Parametre - Agendové IS'!S116+NPV(Faktory!$D$3,'Parametre - Agendové IS'!S117:S125)</f>
        <v>0</v>
      </c>
      <c r="AR17" s="468">
        <f>'Parametre - Agendové IS'!T116+NPV(Faktory!$D$3,'Parametre - Agendové IS'!T117:T125)</f>
        <v>0</v>
      </c>
      <c r="AS17" s="468">
        <f>'Parametre - Agendové IS'!U116+NPV(Faktory!$D$3,'Parametre - Agendové IS'!U117:U125)</f>
        <v>0</v>
      </c>
      <c r="AT17" s="468">
        <f>'Parametre - Agendové IS'!V116+NPV(Faktory!$D$3,'Parametre - Agendové IS'!V117:V125)</f>
        <v>0</v>
      </c>
      <c r="AU17" s="468">
        <f>'Parametre - Agendové IS'!W116+NPV(Faktory!$D$3,'Parametre - Agendové IS'!W117:W125)</f>
        <v>0</v>
      </c>
      <c r="AV17" s="468">
        <f>'Parametre - Agendové IS'!X116+NPV(Faktory!$D$3,'Parametre - Agendové IS'!X117:X125)</f>
        <v>0</v>
      </c>
      <c r="AW17" s="468">
        <f>'Parametre - Agendové IS'!Y116+NPV(Faktory!$D$3,'Parametre - Agendové IS'!Y117:Y125)</f>
        <v>0</v>
      </c>
      <c r="AX17" s="468">
        <f>'Parametre - Agendové IS'!Z116+NPV(Faktory!$D$3,'Parametre - Agendové IS'!Z117:Z125)</f>
        <v>0</v>
      </c>
      <c r="AY17" s="468">
        <f>'Parametre - Agendové IS'!AA116+NPV(Faktory!$D$3,'Parametre - Agendové IS'!AA117:AA125)</f>
        <v>0</v>
      </c>
      <c r="AZ17" s="468">
        <f>'Parametre - Agendové IS'!AB116+NPV(Faktory!$D$3,'Parametre - Agendové IS'!AB117:AB125)</f>
        <v>0</v>
      </c>
      <c r="BA17" s="468">
        <f>'Parametre - Agendové IS'!AC116+NPV(Faktory!$D$3,'Parametre - Agendové IS'!AC117:AC125)</f>
        <v>0</v>
      </c>
    </row>
    <row r="18" spans="1:53">
      <c r="A18" s="456"/>
      <c r="B18" s="456"/>
      <c r="C18" s="457" t="s">
        <v>110</v>
      </c>
      <c r="D18" s="473">
        <f>'Prínosy - Agendové IS'!AN15</f>
        <v>0</v>
      </c>
      <c r="E18" s="470"/>
      <c r="F18" s="470"/>
      <c r="G18" s="470"/>
      <c r="H18" s="470"/>
      <c r="I18" s="470"/>
      <c r="J18" s="471"/>
      <c r="K18" s="470"/>
      <c r="L18" s="470"/>
      <c r="M18" s="470"/>
      <c r="N18" s="471"/>
      <c r="O18" s="470"/>
      <c r="P18" s="470"/>
      <c r="Q18" s="470"/>
      <c r="R18" s="471"/>
      <c r="S18" s="470"/>
      <c r="T18" s="470"/>
      <c r="U18" s="470"/>
      <c r="V18" s="471"/>
      <c r="W18" s="470"/>
      <c r="X18" s="470"/>
      <c r="Y18" s="470"/>
      <c r="Z18" s="330"/>
      <c r="AC18" s="456"/>
      <c r="AD18" s="456"/>
      <c r="AE18" s="457" t="s">
        <v>110</v>
      </c>
      <c r="AF18" s="468">
        <f>'Prínosy - Agendové IS'!L15</f>
        <v>0</v>
      </c>
      <c r="AG18" s="470"/>
      <c r="AH18" s="470"/>
      <c r="AI18" s="470"/>
      <c r="AJ18" s="470"/>
      <c r="AK18" s="471"/>
      <c r="AL18" s="470"/>
      <c r="AM18" s="470"/>
      <c r="AN18" s="470"/>
      <c r="AO18" s="471"/>
      <c r="AP18" s="470"/>
      <c r="AQ18" s="470"/>
      <c r="AR18" s="470"/>
      <c r="AS18" s="471"/>
      <c r="AT18" s="470"/>
      <c r="AU18" s="470"/>
      <c r="AV18" s="470"/>
      <c r="AW18" s="471"/>
      <c r="AX18" s="470"/>
      <c r="AY18" s="470"/>
      <c r="AZ18" s="470"/>
      <c r="BA18" s="471"/>
    </row>
    <row r="19" spans="1:53">
      <c r="A19" s="453"/>
      <c r="B19" s="454" t="s">
        <v>111</v>
      </c>
      <c r="C19" s="454"/>
      <c r="D19" s="455">
        <f>SUM(E19:X19)</f>
        <v>0</v>
      </c>
      <c r="E19" s="455">
        <f>E20+E21+E23</f>
        <v>0</v>
      </c>
      <c r="F19" s="455">
        <f t="shared" ref="F19:Y19" si="7">F20+F21+F23</f>
        <v>0</v>
      </c>
      <c r="G19" s="455">
        <f t="shared" si="7"/>
        <v>0</v>
      </c>
      <c r="H19" s="455">
        <f t="shared" si="7"/>
        <v>0</v>
      </c>
      <c r="I19" s="455">
        <f t="shared" si="7"/>
        <v>0</v>
      </c>
      <c r="J19" s="455">
        <f t="shared" si="7"/>
        <v>0</v>
      </c>
      <c r="K19" s="455">
        <f t="shared" si="7"/>
        <v>0</v>
      </c>
      <c r="L19" s="455">
        <f t="shared" si="7"/>
        <v>0</v>
      </c>
      <c r="M19" s="455">
        <f t="shared" si="7"/>
        <v>0</v>
      </c>
      <c r="N19" s="455">
        <f t="shared" si="7"/>
        <v>0</v>
      </c>
      <c r="O19" s="455">
        <f t="shared" si="7"/>
        <v>0</v>
      </c>
      <c r="P19" s="455">
        <f t="shared" si="7"/>
        <v>0</v>
      </c>
      <c r="Q19" s="455">
        <f t="shared" si="7"/>
        <v>0</v>
      </c>
      <c r="R19" s="455">
        <f t="shared" si="7"/>
        <v>0</v>
      </c>
      <c r="S19" s="455">
        <f t="shared" si="7"/>
        <v>0</v>
      </c>
      <c r="T19" s="455">
        <f t="shared" si="7"/>
        <v>0</v>
      </c>
      <c r="U19" s="455">
        <f t="shared" si="7"/>
        <v>0</v>
      </c>
      <c r="V19" s="455">
        <f t="shared" si="7"/>
        <v>0</v>
      </c>
      <c r="W19" s="455">
        <f t="shared" si="7"/>
        <v>0</v>
      </c>
      <c r="X19" s="455">
        <f t="shared" si="7"/>
        <v>0</v>
      </c>
      <c r="Y19" s="455">
        <f t="shared" si="7"/>
        <v>0</v>
      </c>
      <c r="AC19" s="453"/>
      <c r="AD19" s="454" t="s">
        <v>111</v>
      </c>
      <c r="AE19" s="454"/>
      <c r="AF19" s="455">
        <f>SUM(AG19:AZ19)</f>
        <v>0</v>
      </c>
      <c r="AG19" s="455">
        <f>AG20+AG21+AG23</f>
        <v>0</v>
      </c>
      <c r="AH19" s="455">
        <f t="shared" ref="AH19:BA19" si="8">AH20+AH21+AH23</f>
        <v>0</v>
      </c>
      <c r="AI19" s="455">
        <f t="shared" si="8"/>
        <v>0</v>
      </c>
      <c r="AJ19" s="455">
        <f t="shared" si="8"/>
        <v>0</v>
      </c>
      <c r="AK19" s="455">
        <f t="shared" si="8"/>
        <v>0</v>
      </c>
      <c r="AL19" s="455">
        <f t="shared" si="8"/>
        <v>0</v>
      </c>
      <c r="AM19" s="455">
        <f t="shared" si="8"/>
        <v>0</v>
      </c>
      <c r="AN19" s="455">
        <f t="shared" si="8"/>
        <v>0</v>
      </c>
      <c r="AO19" s="455">
        <f t="shared" si="8"/>
        <v>0</v>
      </c>
      <c r="AP19" s="455">
        <f t="shared" si="8"/>
        <v>0</v>
      </c>
      <c r="AQ19" s="455">
        <f t="shared" si="8"/>
        <v>0</v>
      </c>
      <c r="AR19" s="455">
        <f t="shared" si="8"/>
        <v>0</v>
      </c>
      <c r="AS19" s="455">
        <f t="shared" si="8"/>
        <v>0</v>
      </c>
      <c r="AT19" s="455">
        <f t="shared" si="8"/>
        <v>0</v>
      </c>
      <c r="AU19" s="455">
        <f t="shared" si="8"/>
        <v>0</v>
      </c>
      <c r="AV19" s="455">
        <f t="shared" si="8"/>
        <v>0</v>
      </c>
      <c r="AW19" s="455">
        <f t="shared" si="8"/>
        <v>0</v>
      </c>
      <c r="AX19" s="455">
        <f t="shared" si="8"/>
        <v>0</v>
      </c>
      <c r="AY19" s="455">
        <f t="shared" si="8"/>
        <v>0</v>
      </c>
      <c r="AZ19" s="455">
        <f t="shared" si="8"/>
        <v>0</v>
      </c>
      <c r="BA19" s="455">
        <f t="shared" si="8"/>
        <v>0</v>
      </c>
    </row>
    <row r="20" spans="1:53">
      <c r="A20" s="456"/>
      <c r="B20" s="456"/>
      <c r="C20" s="457" t="s">
        <v>112</v>
      </c>
      <c r="D20" s="473">
        <f>SUM(E20:X20)</f>
        <v>0</v>
      </c>
      <c r="E20" s="473">
        <f>SUM('Parametre - Agendové IS'!I96:I105)</f>
        <v>0</v>
      </c>
      <c r="F20" s="473">
        <f>SUM('Parametre - Agendové IS'!L96:L105)</f>
        <v>0</v>
      </c>
      <c r="G20" s="473">
        <f>SUM('Parametre - Agendové IS'!O96:O105)</f>
        <v>0</v>
      </c>
      <c r="H20" s="473">
        <f>SUM('Parametre - Agendové IS'!R96:R105)</f>
        <v>0</v>
      </c>
      <c r="I20" s="473">
        <f>SUM('Parametre - Agendové IS'!U96:U105)</f>
        <v>0</v>
      </c>
      <c r="J20" s="473">
        <f>SUM('Parametre - Agendové IS'!X96:X105)</f>
        <v>0</v>
      </c>
      <c r="K20" s="473">
        <f>SUM('Parametre - Agendové IS'!AA96:AA105)</f>
        <v>0</v>
      </c>
      <c r="L20" s="473">
        <f>SUM('Parametre - Agendové IS'!AD96:AD105)</f>
        <v>0</v>
      </c>
      <c r="M20" s="473">
        <f>SUM('Parametre - Agendové IS'!AG96:AG105)</f>
        <v>0</v>
      </c>
      <c r="N20" s="473">
        <f>SUM('Parametre - Agendové IS'!AJ96:AJ105)</f>
        <v>0</v>
      </c>
      <c r="O20" s="473">
        <f>SUM('Parametre - Agendové IS'!AM96:AM105)</f>
        <v>0</v>
      </c>
      <c r="P20" s="473">
        <f>SUM('Parametre - Agendové IS'!AP96:AP105)</f>
        <v>0</v>
      </c>
      <c r="Q20" s="473">
        <f>SUM('Parametre - Agendové IS'!AS96:AS105)</f>
        <v>0</v>
      </c>
      <c r="R20" s="473">
        <f>SUM('Parametre - Agendové IS'!AV96:AV105)</f>
        <v>0</v>
      </c>
      <c r="S20" s="473">
        <f>SUM('Parametre - Agendové IS'!AY96:AY105)</f>
        <v>0</v>
      </c>
      <c r="T20" s="473">
        <f>SUM('Parametre - Agendové IS'!BB96:BB105)</f>
        <v>0</v>
      </c>
      <c r="U20" s="473">
        <f>SUM('Parametre - Agendové IS'!BE96:BE105)</f>
        <v>0</v>
      </c>
      <c r="V20" s="473">
        <f>SUM('Parametre - Agendové IS'!BH96:BH105)</f>
        <v>0</v>
      </c>
      <c r="W20" s="473">
        <f>SUM('Parametre - Agendové IS'!BK96:BK105)</f>
        <v>0</v>
      </c>
      <c r="X20" s="473">
        <f>SUM('Parametre - Agendové IS'!BN96:BN105)</f>
        <v>0</v>
      </c>
      <c r="Y20" s="473">
        <f>SUM('Parametre - Agendové IS'!BQ96:BQ105)</f>
        <v>0</v>
      </c>
      <c r="AC20" s="456"/>
      <c r="AD20" s="456"/>
      <c r="AE20" s="457" t="s">
        <v>112</v>
      </c>
      <c r="AF20" s="468">
        <f>SUM(AG20:AZ20)</f>
        <v>0</v>
      </c>
      <c r="AG20" s="468">
        <f>'Parametre - Agendové IS'!I96+NPV(Faktory!$D$5,'Parametre - Agendové IS'!I97:I105)</f>
        <v>0</v>
      </c>
      <c r="AH20" s="468">
        <f>'Parametre - Agendové IS'!L96+NPV(Faktory!$D$5,'Parametre - Agendové IS'!L97:L105)</f>
        <v>0</v>
      </c>
      <c r="AI20" s="468">
        <f>'Parametre - Agendové IS'!O96+NPV(Faktory!$D$5,'Parametre - Agendové IS'!O97:O105)</f>
        <v>0</v>
      </c>
      <c r="AJ20" s="468">
        <f>'Parametre - Agendové IS'!R96+NPV(Faktory!$D$5,'Parametre - Agendové IS'!R97:R105)</f>
        <v>0</v>
      </c>
      <c r="AK20" s="468">
        <f>'Parametre - Agendové IS'!U96+NPV(Faktory!$D$5,'Parametre - Agendové IS'!U97:U105)</f>
        <v>0</v>
      </c>
      <c r="AL20" s="468">
        <f>'Parametre - Agendové IS'!X96+NPV(Faktory!$D$5,'Parametre - Agendové IS'!X97:X105)</f>
        <v>0</v>
      </c>
      <c r="AM20" s="468">
        <f>'Parametre - Agendové IS'!AA96+NPV(Faktory!$D$5,'Parametre - Agendové IS'!AA97:AA105)</f>
        <v>0</v>
      </c>
      <c r="AN20" s="468">
        <f>'Parametre - Agendové IS'!AD96+NPV(Faktory!$D$5,'Parametre - Agendové IS'!AD97:AD105)</f>
        <v>0</v>
      </c>
      <c r="AO20" s="468">
        <f>'Parametre - Agendové IS'!AG96+NPV(Faktory!$D$5,'Parametre - Agendové IS'!AG97:AG105)</f>
        <v>0</v>
      </c>
      <c r="AP20" s="468">
        <f>'Parametre - Agendové IS'!AJ96+NPV(Faktory!$D$5,'Parametre - Agendové IS'!AJ97:AJ105)</f>
        <v>0</v>
      </c>
      <c r="AQ20" s="468">
        <f>'Parametre - Agendové IS'!AM96+NPV(Faktory!$D$5,'Parametre - Agendové IS'!AM97:AM105)</f>
        <v>0</v>
      </c>
      <c r="AR20" s="468">
        <f>'Parametre - Agendové IS'!AP96+NPV(Faktory!$D$5,'Parametre - Agendové IS'!AP97:AP105)</f>
        <v>0</v>
      </c>
      <c r="AS20" s="468">
        <f>'Parametre - Agendové IS'!AS96+NPV(Faktory!$D$5,'Parametre - Agendové IS'!AS97:AS105)</f>
        <v>0</v>
      </c>
      <c r="AT20" s="468">
        <f>'Parametre - Agendové IS'!AV96+NPV(Faktory!$D$5,'Parametre - Agendové IS'!AV97:AV105)</f>
        <v>0</v>
      </c>
      <c r="AU20" s="468">
        <f>'Parametre - Agendové IS'!AY96+NPV(Faktory!$D$5,'Parametre - Agendové IS'!AY97:AY105)</f>
        <v>0</v>
      </c>
      <c r="AV20" s="468">
        <f>'Parametre - Agendové IS'!BB96+NPV(Faktory!$D$5,'Parametre - Agendové IS'!BB97:BB105)</f>
        <v>0</v>
      </c>
      <c r="AW20" s="468">
        <f>'Parametre - Agendové IS'!BE96+NPV(Faktory!$D$5,'Parametre - Agendové IS'!BE97:BE105)</f>
        <v>0</v>
      </c>
      <c r="AX20" s="468">
        <f>'Parametre - Agendové IS'!BH96+NPV(Faktory!$D$5,'Parametre - Agendové IS'!BH97:BH105)</f>
        <v>0</v>
      </c>
      <c r="AY20" s="468">
        <f>'Parametre - Agendové IS'!BK96+NPV(Faktory!$D$5,'Parametre - Agendové IS'!BK97:BK105)</f>
        <v>0</v>
      </c>
      <c r="AZ20" s="468">
        <f>'Parametre - Agendové IS'!BN96+NPV(Faktory!$D$5,'Parametre - Agendové IS'!BN97:BN105)</f>
        <v>0</v>
      </c>
      <c r="BA20" s="468">
        <f>'Parametre - Agendové IS'!BQ96+NPV(Faktory!$D$5,'Parametre - Agendové IS'!BQ97:BQC105)</f>
        <v>0</v>
      </c>
    </row>
    <row r="21" spans="1:53">
      <c r="A21" s="456"/>
      <c r="B21" s="456"/>
      <c r="C21" s="457" t="s">
        <v>113</v>
      </c>
      <c r="D21" s="473">
        <f>SUM(E21:X21)</f>
        <v>0</v>
      </c>
      <c r="E21" s="473">
        <f>-(SUM('Parametre - Agendové IS'!I76:I85))</f>
        <v>0</v>
      </c>
      <c r="F21" s="473">
        <f>-(SUM('Parametre - Agendové IS'!L76:L85))</f>
        <v>0</v>
      </c>
      <c r="G21" s="473">
        <f>-(SUM('Parametre - Agendové IS'!O76:O85))</f>
        <v>0</v>
      </c>
      <c r="H21" s="473">
        <f>-(SUM('Parametre - Agendové IS'!R76:R85))</f>
        <v>0</v>
      </c>
      <c r="I21" s="473">
        <f>-(SUM('Parametre - Agendové IS'!U76:U85))</f>
        <v>0</v>
      </c>
      <c r="J21" s="473">
        <f>-(SUM('Parametre - Agendové IS'!X76:X85))</f>
        <v>0</v>
      </c>
      <c r="K21" s="473">
        <f>-(SUM('Parametre - Agendové IS'!AA76:AA85))</f>
        <v>0</v>
      </c>
      <c r="L21" s="473">
        <f>-(SUM('Parametre - Agendové IS'!AD76:AD85))</f>
        <v>0</v>
      </c>
      <c r="M21" s="473">
        <f>-(SUM('Parametre - Agendové IS'!AG76:AG85))</f>
        <v>0</v>
      </c>
      <c r="N21" s="473">
        <f>-(SUM('Parametre - Agendové IS'!AJ76:AJ85))</f>
        <v>0</v>
      </c>
      <c r="O21" s="473">
        <f>-(SUM('Parametre - Agendové IS'!AM76:AM85))</f>
        <v>0</v>
      </c>
      <c r="P21" s="473">
        <f>-(SUM('Parametre - Agendové IS'!AP76:AP85))</f>
        <v>0</v>
      </c>
      <c r="Q21" s="473">
        <f>-(SUM('Parametre - Agendové IS'!AS76:AS85))</f>
        <v>0</v>
      </c>
      <c r="R21" s="473">
        <f>-(SUM('Parametre - Agendové IS'!AV76:AV85))</f>
        <v>0</v>
      </c>
      <c r="S21" s="473">
        <f>-(SUM('Parametre - Agendové IS'!AY76:AY85))</f>
        <v>0</v>
      </c>
      <c r="T21" s="473">
        <f>-(SUM('Parametre - Agendové IS'!BB76:BB85))</f>
        <v>0</v>
      </c>
      <c r="U21" s="473">
        <f>-(SUM('Parametre - Agendové IS'!BE76:BE85))</f>
        <v>0</v>
      </c>
      <c r="V21" s="473">
        <f>-(SUM('Parametre - Agendové IS'!BH76:BH85))</f>
        <v>0</v>
      </c>
      <c r="W21" s="473">
        <f>-(SUM('Parametre - Agendové IS'!BK76:BK85))</f>
        <v>0</v>
      </c>
      <c r="X21" s="473">
        <f>-(SUM('Parametre - Agendové IS'!BN76:BN85))</f>
        <v>0</v>
      </c>
      <c r="Y21" s="473">
        <f>-(SUM('Parametre - Agendové IS'!BQ76:BQ85))</f>
        <v>0</v>
      </c>
      <c r="AC21" s="456"/>
      <c r="AD21" s="456"/>
      <c r="AE21" s="457" t="s">
        <v>113</v>
      </c>
      <c r="AF21" s="468">
        <f>SUM(AG21:AZ21)</f>
        <v>0</v>
      </c>
      <c r="AG21" s="468">
        <f>-('Parametre - Agendové IS'!I76+NPV(Faktory!$D$5,'Parametre - Agendové IS'!I77:I85))</f>
        <v>0</v>
      </c>
      <c r="AH21" s="468">
        <f>-('Parametre - Agendové IS'!L76+NPV(Faktory!$D$5,'Parametre - Agendové IS'!L77:L85))</f>
        <v>0</v>
      </c>
      <c r="AI21" s="468">
        <f>-('Parametre - Agendové IS'!O76+NPV(Faktory!$D$5,'Parametre - Agendové IS'!O77:O85))</f>
        <v>0</v>
      </c>
      <c r="AJ21" s="468">
        <f>-('Parametre - Agendové IS'!R76+NPV(Faktory!$D$5,'Parametre - Agendové IS'!R77:R85))</f>
        <v>0</v>
      </c>
      <c r="AK21" s="468">
        <f>-('Parametre - Agendové IS'!U76+NPV(Faktory!$D$5,'Parametre - Agendové IS'!U77:U85))</f>
        <v>0</v>
      </c>
      <c r="AL21" s="468">
        <f>-('Parametre - Agendové IS'!X76+NPV(Faktory!$D$5,'Parametre - Agendové IS'!X77:X85))</f>
        <v>0</v>
      </c>
      <c r="AM21" s="468">
        <f>-('Parametre - Agendové IS'!AA76+NPV(Faktory!$D$5,'Parametre - Agendové IS'!AA77:AA85))</f>
        <v>0</v>
      </c>
      <c r="AN21" s="468">
        <f>-('Parametre - Agendové IS'!AD76+NPV(Faktory!$D$5,'Parametre - Agendové IS'!AD77:AD85))</f>
        <v>0</v>
      </c>
      <c r="AO21" s="468">
        <f>-('Parametre - Agendové IS'!AG76+NPV(Faktory!$D$5,'Parametre - Agendové IS'!AG77:AG85))</f>
        <v>0</v>
      </c>
      <c r="AP21" s="468">
        <f>-('Parametre - Agendové IS'!AJ76+NPV(Faktory!$D$5,'Parametre - Agendové IS'!AJ77:AJ85))</f>
        <v>0</v>
      </c>
      <c r="AQ21" s="468">
        <f>-('Parametre - Agendové IS'!AM76+NPV(Faktory!$D$5,'Parametre - Agendové IS'!AM77:AM85))</f>
        <v>0</v>
      </c>
      <c r="AR21" s="468">
        <f>-('Parametre - Agendové IS'!AP76+NPV(Faktory!$D$5,'Parametre - Agendové IS'!AP77:AP85))</f>
        <v>0</v>
      </c>
      <c r="AS21" s="468">
        <f>-('Parametre - Agendové IS'!AS76+NPV(Faktory!$D$5,'Parametre - Agendové IS'!AS77:AS85))</f>
        <v>0</v>
      </c>
      <c r="AT21" s="468">
        <f>-('Parametre - Agendové IS'!AV76+NPV(Faktory!$D$5,'Parametre - Agendové IS'!AV77:AV85))</f>
        <v>0</v>
      </c>
      <c r="AU21" s="468">
        <f>-('Parametre - Agendové IS'!AY76+NPV(Faktory!$D$5,'Parametre - Agendové IS'!AY77:AY85))</f>
        <v>0</v>
      </c>
      <c r="AV21" s="468">
        <f>-('Parametre - Agendové IS'!BB76+NPV(Faktory!$D$5,'Parametre - Agendové IS'!BB77:BB85))</f>
        <v>0</v>
      </c>
      <c r="AW21" s="468">
        <f>-('Parametre - Agendové IS'!BE76+NPV(Faktory!$D$5,'Parametre - Agendové IS'!BE77:BE85))</f>
        <v>0</v>
      </c>
      <c r="AX21" s="468">
        <f>-('Parametre - Agendové IS'!BH76+NPV(Faktory!$D$5,'Parametre - Agendové IS'!BH77:BH85))</f>
        <v>0</v>
      </c>
      <c r="AY21" s="468">
        <f>-('Parametre - Agendové IS'!BK76+NPV(Faktory!$D$5,'Parametre - Agendové IS'!BK77:BK85))</f>
        <v>0</v>
      </c>
      <c r="AZ21" s="468">
        <f>-('Parametre - Agendové IS'!BN76+NPV(Faktory!$D$5,'Parametre - Agendové IS'!BN77:BN85))</f>
        <v>0</v>
      </c>
      <c r="BA21" s="468">
        <f>-('Parametre - Agendové IS'!BQ76+NPV(Faktory!$D$5,'Parametre - Agendové IS'!BQ77:BQ85))</f>
        <v>0</v>
      </c>
    </row>
    <row r="22" spans="1:53">
      <c r="A22" s="456"/>
      <c r="B22" s="456"/>
      <c r="C22" s="457" t="s">
        <v>114</v>
      </c>
      <c r="D22" s="471" t="s">
        <v>115</v>
      </c>
      <c r="E22" s="471" t="s">
        <v>115</v>
      </c>
      <c r="F22" s="471" t="s">
        <v>115</v>
      </c>
      <c r="G22" s="471" t="s">
        <v>115</v>
      </c>
      <c r="H22" s="471" t="s">
        <v>115</v>
      </c>
      <c r="I22" s="471" t="s">
        <v>115</v>
      </c>
      <c r="J22" s="471" t="s">
        <v>115</v>
      </c>
      <c r="K22" s="471" t="s">
        <v>115</v>
      </c>
      <c r="L22" s="471" t="s">
        <v>115</v>
      </c>
      <c r="M22" s="471" t="s">
        <v>115</v>
      </c>
      <c r="N22" s="471" t="s">
        <v>115</v>
      </c>
      <c r="O22" s="471" t="s">
        <v>115</v>
      </c>
      <c r="P22" s="471" t="s">
        <v>115</v>
      </c>
      <c r="Q22" s="471" t="s">
        <v>115</v>
      </c>
      <c r="R22" s="471" t="s">
        <v>115</v>
      </c>
      <c r="S22" s="471" t="s">
        <v>115</v>
      </c>
      <c r="T22" s="471" t="s">
        <v>115</v>
      </c>
      <c r="U22" s="471" t="s">
        <v>115</v>
      </c>
      <c r="V22" s="471" t="s">
        <v>115</v>
      </c>
      <c r="W22" s="471" t="s">
        <v>115</v>
      </c>
      <c r="X22" s="471" t="s">
        <v>115</v>
      </c>
      <c r="Y22" s="471" t="s">
        <v>115</v>
      </c>
      <c r="AC22" s="456"/>
      <c r="AD22" s="456"/>
      <c r="AE22" s="457" t="s">
        <v>114</v>
      </c>
      <c r="AF22" s="471" t="s">
        <v>115</v>
      </c>
      <c r="AG22" s="471" t="s">
        <v>115</v>
      </c>
      <c r="AH22" s="471" t="s">
        <v>115</v>
      </c>
      <c r="AI22" s="471" t="s">
        <v>115</v>
      </c>
      <c r="AJ22" s="471" t="s">
        <v>115</v>
      </c>
      <c r="AK22" s="471" t="s">
        <v>115</v>
      </c>
      <c r="AL22" s="471" t="s">
        <v>115</v>
      </c>
      <c r="AM22" s="471" t="s">
        <v>115</v>
      </c>
      <c r="AN22" s="471" t="s">
        <v>115</v>
      </c>
      <c r="AO22" s="471" t="s">
        <v>115</v>
      </c>
      <c r="AP22" s="471" t="s">
        <v>115</v>
      </c>
      <c r="AQ22" s="471" t="s">
        <v>115</v>
      </c>
      <c r="AR22" s="471" t="s">
        <v>115</v>
      </c>
      <c r="AS22" s="471" t="s">
        <v>115</v>
      </c>
      <c r="AT22" s="471" t="s">
        <v>115</v>
      </c>
      <c r="AU22" s="471" t="s">
        <v>115</v>
      </c>
      <c r="AV22" s="471" t="s">
        <v>115</v>
      </c>
      <c r="AW22" s="471" t="s">
        <v>115</v>
      </c>
      <c r="AX22" s="471" t="s">
        <v>115</v>
      </c>
      <c r="AY22" s="471" t="s">
        <v>115</v>
      </c>
      <c r="AZ22" s="471" t="s">
        <v>115</v>
      </c>
      <c r="BA22" s="471" t="s">
        <v>115</v>
      </c>
    </row>
    <row r="23" spans="1:53">
      <c r="A23" s="456"/>
      <c r="B23" s="456"/>
      <c r="C23" s="457" t="s">
        <v>116</v>
      </c>
      <c r="D23" s="473">
        <f>SUM(E23:X23)</f>
        <v>0</v>
      </c>
      <c r="E23" s="473">
        <f>SUM('Parametre - Agendové IS'!I126:I135)</f>
        <v>0</v>
      </c>
      <c r="F23" s="473">
        <f>SUM('Parametre - Agendové IS'!L126:L135)</f>
        <v>0</v>
      </c>
      <c r="G23" s="473">
        <f>SUM('Parametre - Agendové IS'!O126:O135)</f>
        <v>0</v>
      </c>
      <c r="H23" s="473">
        <f>SUM('Parametre - Agendové IS'!R126:R135)</f>
        <v>0</v>
      </c>
      <c r="I23" s="473">
        <f>SUM('Parametre - Agendové IS'!U126:U135)</f>
        <v>0</v>
      </c>
      <c r="J23" s="473">
        <f>SUM('Parametre - Agendové IS'!X126:X135)</f>
        <v>0</v>
      </c>
      <c r="K23" s="473">
        <f>SUM('Parametre - Agendové IS'!AA126:AA135)</f>
        <v>0</v>
      </c>
      <c r="L23" s="473">
        <f>SUM('Parametre - Agendové IS'!AD126:AD135)</f>
        <v>0</v>
      </c>
      <c r="M23" s="473">
        <f>SUM('Parametre - Agendové IS'!AG126:AG135)</f>
        <v>0</v>
      </c>
      <c r="N23" s="473">
        <f>SUM('Parametre - Agendové IS'!AJ126:AJ135)</f>
        <v>0</v>
      </c>
      <c r="O23" s="473">
        <f>SUM('Parametre - Agendové IS'!AM126:AM135)</f>
        <v>0</v>
      </c>
      <c r="P23" s="473">
        <f>SUM('Parametre - Agendové IS'!AP126:AP135)</f>
        <v>0</v>
      </c>
      <c r="Q23" s="473">
        <f>SUM('Parametre - Agendové IS'!AS126:AS135)</f>
        <v>0</v>
      </c>
      <c r="R23" s="473">
        <f>SUM('Parametre - Agendové IS'!AV126:AV135)</f>
        <v>0</v>
      </c>
      <c r="S23" s="473">
        <f>SUM('Parametre - Agendové IS'!AY126:AY135)</f>
        <v>0</v>
      </c>
      <c r="T23" s="473">
        <f>SUM('Parametre - Agendové IS'!BB126:BB135)</f>
        <v>0</v>
      </c>
      <c r="U23" s="473">
        <f>SUM('Parametre - Agendové IS'!BE126:BE135)</f>
        <v>0</v>
      </c>
      <c r="V23" s="473">
        <f>SUM('Parametre - Agendové IS'!BH126:BH135)</f>
        <v>0</v>
      </c>
      <c r="W23" s="473">
        <f>SUM('Parametre - Agendové IS'!BK126:BK135)</f>
        <v>0</v>
      </c>
      <c r="X23" s="473">
        <f>SUM('Parametre - Agendové IS'!BN126:BN135)</f>
        <v>0</v>
      </c>
      <c r="Y23" s="473">
        <f>SUM('Parametre - Agendové IS'!BQ126:BQ135)</f>
        <v>0</v>
      </c>
      <c r="AC23" s="456"/>
      <c r="AD23" s="456"/>
      <c r="AE23" s="457" t="s">
        <v>116</v>
      </c>
      <c r="AF23" s="468">
        <f>SUM(AG23:AZ23)</f>
        <v>0</v>
      </c>
      <c r="AG23" s="468">
        <f>'Parametre - Agendové IS'!I126+NPV(Faktory!$D$5,'Parametre - Agendové IS'!I127:I135)</f>
        <v>0</v>
      </c>
      <c r="AH23" s="468">
        <f>'Parametre - Agendové IS'!L126+NPV(Faktory!$D$5,'Parametre - Agendové IS'!L127:L135)</f>
        <v>0</v>
      </c>
      <c r="AI23" s="468">
        <f>'Parametre - Agendové IS'!O126+NPV(Faktory!$D$5,'Parametre - Agendové IS'!O127:O135)</f>
        <v>0</v>
      </c>
      <c r="AJ23" s="468">
        <f>'Parametre - Agendové IS'!R126+NPV(Faktory!$D$5,'Parametre - Agendové IS'!R127:R135)</f>
        <v>0</v>
      </c>
      <c r="AK23" s="468">
        <f>'Parametre - Agendové IS'!U126+NPV(Faktory!$D$5,'Parametre - Agendové IS'!U127:U135)</f>
        <v>0</v>
      </c>
      <c r="AL23" s="468">
        <f>'Parametre - Agendové IS'!X126+NPV(Faktory!$D$5,'Parametre - Agendové IS'!X127:X135)</f>
        <v>0</v>
      </c>
      <c r="AM23" s="468">
        <f>'Parametre - Agendové IS'!AA126+NPV(Faktory!$D$5,'Parametre - Agendové IS'!AA127:AA135)</f>
        <v>0</v>
      </c>
      <c r="AN23" s="468">
        <f>'Parametre - Agendové IS'!AD126+NPV(Faktory!$D$5,'Parametre - Agendové IS'!AD127:AD135)</f>
        <v>0</v>
      </c>
      <c r="AO23" s="468">
        <f>'Parametre - Agendové IS'!AG126+NPV(Faktory!$D$5,'Parametre - Agendové IS'!AG127:AG135)</f>
        <v>0</v>
      </c>
      <c r="AP23" s="468">
        <f>'Parametre - Agendové IS'!AJ126+NPV(Faktory!$D$5,'Parametre - Agendové IS'!AJ127:AJ135)</f>
        <v>0</v>
      </c>
      <c r="AQ23" s="468">
        <f>'Parametre - Agendové IS'!AM126+NPV(Faktory!$D$5,'Parametre - Agendové IS'!AM127:AM135)</f>
        <v>0</v>
      </c>
      <c r="AR23" s="468">
        <f>'Parametre - Agendové IS'!AP126+NPV(Faktory!$D$5,'Parametre - Agendové IS'!AP127:AP135)</f>
        <v>0</v>
      </c>
      <c r="AS23" s="468">
        <f>'Parametre - Agendové IS'!AS126+NPV(Faktory!$D$5,'Parametre - Agendové IS'!AS127:AS135)</f>
        <v>0</v>
      </c>
      <c r="AT23" s="468">
        <f>'Parametre - Agendové IS'!AV126+NPV(Faktory!$D$5,'Parametre - Agendové IS'!AV127:AV135)</f>
        <v>0</v>
      </c>
      <c r="AU23" s="468">
        <f>'Parametre - Agendové IS'!AY126+NPV(Faktory!$D$5,'Parametre - Agendové IS'!AY127:AY135)</f>
        <v>0</v>
      </c>
      <c r="AV23" s="468">
        <f>'Parametre - Agendové IS'!BB126+NPV(Faktory!$D$5,'Parametre - Agendové IS'!BB127:BB135)</f>
        <v>0</v>
      </c>
      <c r="AW23" s="468">
        <f>'Parametre - Agendové IS'!BE126+NPV(Faktory!$D$5,'Parametre - Agendové IS'!BE127:BE135)</f>
        <v>0</v>
      </c>
      <c r="AX23" s="468">
        <f>'Parametre - Agendové IS'!BH126+NPV(Faktory!$D$5,'Parametre - Agendové IS'!BH127:BH135)</f>
        <v>0</v>
      </c>
      <c r="AY23" s="468">
        <f>'Parametre - Agendové IS'!BK126+NPV(Faktory!$D$5,'Parametre - Agendové IS'!BK127:BK135)</f>
        <v>0</v>
      </c>
      <c r="AZ23" s="468">
        <f>'Parametre - Agendové IS'!BN126+NPV(Faktory!$D$5,'Parametre - Agendové IS'!BN127:BN135)</f>
        <v>0</v>
      </c>
      <c r="BA23" s="468">
        <f>'Parametre - Agendové IS'!BQ126+NPV(Faktory!$D$5,'Parametre - Agendové IS'!BQ127:BQ135)</f>
        <v>0</v>
      </c>
    </row>
    <row r="24" spans="1:53">
      <c r="A24" s="453"/>
      <c r="B24" s="454" t="s">
        <v>117</v>
      </c>
      <c r="C24" s="454"/>
      <c r="D24" s="460"/>
      <c r="E24" s="466"/>
      <c r="F24" s="467"/>
      <c r="G24" s="467"/>
      <c r="H24" s="467"/>
      <c r="I24" s="467"/>
      <c r="J24" s="466"/>
      <c r="K24" s="467"/>
      <c r="L24" s="467"/>
      <c r="M24" s="467"/>
      <c r="N24" s="466"/>
      <c r="O24" s="467"/>
      <c r="P24" s="467"/>
      <c r="Q24" s="467"/>
      <c r="R24" s="466"/>
      <c r="S24" s="467"/>
      <c r="T24" s="467"/>
      <c r="U24" s="467"/>
      <c r="V24" s="466"/>
      <c r="W24" s="467"/>
      <c r="X24" s="467"/>
      <c r="Y24" s="467"/>
      <c r="AC24" s="453"/>
      <c r="AD24" s="454" t="s">
        <v>117</v>
      </c>
      <c r="AE24" s="454"/>
      <c r="AF24" s="460"/>
      <c r="AG24" s="461"/>
      <c r="AH24" s="461"/>
      <c r="AI24" s="461"/>
      <c r="AJ24" s="461"/>
      <c r="AK24" s="460"/>
      <c r="AL24" s="461"/>
      <c r="AM24" s="461"/>
      <c r="AN24" s="461"/>
      <c r="AO24" s="460"/>
      <c r="AP24" s="461"/>
      <c r="AQ24" s="461"/>
      <c r="AR24" s="461"/>
      <c r="AS24" s="460"/>
      <c r="AT24" s="461"/>
      <c r="AU24" s="461"/>
      <c r="AV24" s="461"/>
      <c r="AW24" s="460"/>
      <c r="AX24" s="461"/>
      <c r="AY24" s="461"/>
      <c r="AZ24" s="461"/>
      <c r="BA24" s="460"/>
    </row>
    <row r="25" spans="1:53">
      <c r="A25" s="462"/>
      <c r="B25" s="462"/>
      <c r="C25" s="536" t="s">
        <v>118</v>
      </c>
      <c r="D25" s="463"/>
      <c r="E25" s="462"/>
      <c r="F25" s="462"/>
      <c r="G25" s="462"/>
      <c r="H25" s="462"/>
      <c r="I25" s="462"/>
      <c r="J25" s="462"/>
      <c r="K25" s="462"/>
      <c r="L25" s="462"/>
      <c r="M25" s="462"/>
      <c r="N25" s="462"/>
      <c r="O25" s="462"/>
      <c r="P25" s="462"/>
      <c r="Q25" s="462"/>
      <c r="R25" s="462"/>
      <c r="S25" s="462"/>
      <c r="T25" s="462"/>
      <c r="U25" s="462"/>
      <c r="V25" s="462"/>
      <c r="W25" s="462"/>
      <c r="X25" s="462"/>
      <c r="Y25" s="462"/>
      <c r="AC25" s="462"/>
      <c r="AD25" s="462"/>
      <c r="AE25" s="536" t="s">
        <v>118</v>
      </c>
      <c r="AF25" s="463"/>
      <c r="AG25" s="463"/>
      <c r="AH25" s="463"/>
      <c r="AI25" s="463"/>
      <c r="AJ25" s="463"/>
      <c r="AK25" s="463"/>
      <c r="AL25" s="463"/>
      <c r="AM25" s="463"/>
      <c r="AN25" s="463"/>
      <c r="AO25" s="463"/>
      <c r="AP25" s="463"/>
      <c r="AQ25" s="463"/>
      <c r="AR25" s="463"/>
      <c r="AS25" s="463"/>
      <c r="AT25" s="463"/>
      <c r="AU25" s="463"/>
      <c r="AV25" s="463"/>
      <c r="AW25" s="463"/>
      <c r="AX25" s="463"/>
      <c r="AY25" s="463"/>
      <c r="AZ25" s="463"/>
      <c r="BA25" s="463"/>
    </row>
    <row r="26" spans="1:53">
      <c r="A26" s="462"/>
      <c r="B26" s="462"/>
      <c r="C26" s="536" t="s">
        <v>119</v>
      </c>
      <c r="D26" s="463"/>
      <c r="E26" s="462"/>
      <c r="F26" s="462"/>
      <c r="G26" s="462"/>
      <c r="H26" s="462"/>
      <c r="I26" s="462"/>
      <c r="J26" s="462"/>
      <c r="K26" s="462"/>
      <c r="L26" s="462"/>
      <c r="M26" s="462"/>
      <c r="N26" s="462"/>
      <c r="O26" s="462"/>
      <c r="P26" s="462"/>
      <c r="Q26" s="462"/>
      <c r="R26" s="462"/>
      <c r="S26" s="462"/>
      <c r="T26" s="462"/>
      <c r="U26" s="462"/>
      <c r="V26" s="462"/>
      <c r="W26" s="462"/>
      <c r="X26" s="462"/>
      <c r="Y26" s="462"/>
      <c r="AC26" s="462"/>
      <c r="AD26" s="462"/>
      <c r="AE26" s="536" t="s">
        <v>119</v>
      </c>
      <c r="AF26" s="463"/>
      <c r="AG26" s="463"/>
      <c r="AH26" s="463"/>
      <c r="AI26" s="463"/>
      <c r="AJ26" s="463"/>
      <c r="AK26" s="463"/>
      <c r="AL26" s="463"/>
      <c r="AM26" s="463"/>
      <c r="AN26" s="463"/>
      <c r="AO26" s="463"/>
      <c r="AP26" s="463"/>
      <c r="AQ26" s="463"/>
      <c r="AR26" s="463"/>
      <c r="AS26" s="463"/>
      <c r="AT26" s="463"/>
      <c r="AU26" s="463"/>
      <c r="AV26" s="463"/>
      <c r="AW26" s="463"/>
      <c r="AX26" s="463"/>
      <c r="AY26" s="463"/>
      <c r="AZ26" s="463"/>
      <c r="BA26" s="463"/>
    </row>
    <row r="27" spans="1:53">
      <c r="A27" s="462"/>
      <c r="B27" s="462"/>
      <c r="C27" s="536" t="s">
        <v>119</v>
      </c>
      <c r="D27" s="463"/>
      <c r="E27" s="462"/>
      <c r="F27" s="462"/>
      <c r="G27" s="462"/>
      <c r="H27" s="462"/>
      <c r="I27" s="462"/>
      <c r="J27" s="462"/>
      <c r="K27" s="462"/>
      <c r="L27" s="462"/>
      <c r="M27" s="462"/>
      <c r="N27" s="462"/>
      <c r="O27" s="462"/>
      <c r="P27" s="462"/>
      <c r="Q27" s="462"/>
      <c r="R27" s="462"/>
      <c r="S27" s="462"/>
      <c r="T27" s="462"/>
      <c r="U27" s="462"/>
      <c r="V27" s="462"/>
      <c r="W27" s="462"/>
      <c r="X27" s="462"/>
      <c r="Y27" s="462"/>
      <c r="AC27" s="462"/>
      <c r="AD27" s="462"/>
      <c r="AE27" s="536" t="s">
        <v>119</v>
      </c>
      <c r="AF27" s="463"/>
      <c r="AG27" s="463"/>
      <c r="AH27" s="463"/>
      <c r="AI27" s="463"/>
      <c r="AJ27" s="463"/>
      <c r="AK27" s="463"/>
      <c r="AL27" s="463"/>
      <c r="AM27" s="463"/>
      <c r="AN27" s="463"/>
      <c r="AO27" s="463"/>
      <c r="AP27" s="463"/>
      <c r="AQ27" s="463"/>
      <c r="AR27" s="463"/>
      <c r="AS27" s="463"/>
      <c r="AT27" s="463"/>
      <c r="AU27" s="463"/>
      <c r="AV27" s="463"/>
      <c r="AW27" s="463"/>
      <c r="AX27" s="463"/>
      <c r="AY27" s="463"/>
      <c r="AZ27" s="463"/>
      <c r="BA27" s="463"/>
    </row>
  </sheetData>
  <sheetProtection insertColumns="0" insertRows="0" deleteColumns="0" deleteRows="0"/>
  <mergeCells count="2">
    <mergeCell ref="A2:C2"/>
    <mergeCell ref="AC2:AE2"/>
  </mergeCells>
  <conditionalFormatting sqref="E2:Y2">
    <cfRule type="cellIs" dxfId="640" priority="1" operator="equal">
      <formula>0</formula>
    </cfRule>
  </conditionalFormatting>
  <conditionalFormatting sqref="AG2:BA2">
    <cfRule type="cellIs" dxfId="639"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0"/>
  <dimension ref="A1:AC70"/>
  <sheetViews>
    <sheetView view="pageBreakPreview" zoomScale="60" zoomScaleNormal="80" workbookViewId="0">
      <selection activeCell="C39" sqref="C39"/>
    </sheetView>
  </sheetViews>
  <sheetFormatPr defaultColWidth="8.85546875" defaultRowHeight="15"/>
  <cols>
    <col min="1" max="1" width="21.42578125" customWidth="1"/>
    <col min="2" max="2" width="14.42578125" customWidth="1"/>
    <col min="3" max="3" width="14.28515625" style="195" customWidth="1"/>
    <col min="4" max="4" width="14.140625" style="195" customWidth="1"/>
    <col min="5" max="5" width="14.85546875" style="195" customWidth="1"/>
    <col min="6" max="6" width="11.85546875" style="195" customWidth="1"/>
    <col min="7" max="7" width="15.85546875" style="195" customWidth="1"/>
    <col min="8" max="8" width="13.42578125" style="195" customWidth="1"/>
    <col min="9" max="9" width="10" style="195" customWidth="1"/>
    <col min="10" max="28" width="8.42578125" style="195" customWidth="1"/>
  </cols>
  <sheetData>
    <row r="1" spans="1:29" ht="15.75" thickBot="1"/>
    <row r="2" spans="1:29" ht="48.75" customHeight="1" thickBot="1">
      <c r="A2" s="198" t="s">
        <v>1559</v>
      </c>
      <c r="B2" s="215" t="s">
        <v>1560</v>
      </c>
      <c r="C2" s="213" t="s">
        <v>1561</v>
      </c>
      <c r="D2" s="199" t="s">
        <v>1562</v>
      </c>
      <c r="E2" s="199" t="s">
        <v>1563</v>
      </c>
      <c r="F2" s="220" t="s">
        <v>119</v>
      </c>
      <c r="G2" s="215" t="s">
        <v>1564</v>
      </c>
      <c r="H2" s="224" t="s">
        <v>1561</v>
      </c>
      <c r="I2" s="200" t="s">
        <v>119</v>
      </c>
      <c r="O2" s="201"/>
      <c r="P2" s="202"/>
      <c r="Q2" s="202"/>
      <c r="R2" s="96"/>
      <c r="S2" s="96"/>
      <c r="T2" s="96"/>
      <c r="U2" s="96"/>
      <c r="V2" s="96"/>
      <c r="W2" s="96"/>
      <c r="X2" s="96"/>
      <c r="Y2" s="202"/>
      <c r="Z2" s="202"/>
      <c r="AA2" s="96"/>
      <c r="AB2" s="96"/>
      <c r="AC2" s="96"/>
    </row>
    <row r="3" spans="1:29">
      <c r="A3" s="203" t="s">
        <v>175</v>
      </c>
      <c r="B3" s="216"/>
      <c r="C3" s="214"/>
      <c r="D3" s="210"/>
      <c r="E3" s="210"/>
      <c r="F3" s="221"/>
      <c r="G3" s="225"/>
      <c r="H3" s="214"/>
      <c r="I3" s="210"/>
      <c r="O3" s="204"/>
      <c r="P3"/>
      <c r="AC3" s="195"/>
    </row>
    <row r="4" spans="1:29">
      <c r="A4" s="205" t="s">
        <v>1565</v>
      </c>
      <c r="B4" s="217" t="s">
        <v>1566</v>
      </c>
      <c r="C4" s="212"/>
      <c r="D4" s="211"/>
      <c r="E4" s="211"/>
      <c r="F4" s="222"/>
      <c r="G4" s="218"/>
      <c r="H4" s="212"/>
      <c r="I4" s="211"/>
      <c r="O4" s="204"/>
      <c r="P4" s="206"/>
      <c r="AC4" s="195"/>
    </row>
    <row r="5" spans="1:29" ht="15.75" customHeight="1">
      <c r="A5" s="207" t="s">
        <v>1567</v>
      </c>
      <c r="B5" s="218"/>
      <c r="C5" s="212"/>
      <c r="D5" s="211"/>
      <c r="E5" s="211"/>
      <c r="F5" s="222"/>
      <c r="G5" s="218"/>
      <c r="H5" s="212"/>
      <c r="I5" s="211"/>
      <c r="O5" s="204"/>
      <c r="AC5" s="195"/>
    </row>
    <row r="6" spans="1:29">
      <c r="A6" s="207" t="s">
        <v>1568</v>
      </c>
      <c r="B6" s="218"/>
      <c r="C6" s="212"/>
      <c r="D6" s="211"/>
      <c r="E6" s="211"/>
      <c r="F6" s="222"/>
      <c r="G6" s="218"/>
      <c r="H6" s="212"/>
      <c r="I6" s="211"/>
      <c r="O6" s="204"/>
      <c r="AC6" s="195"/>
    </row>
    <row r="7" spans="1:29">
      <c r="A7" s="207" t="s">
        <v>1569</v>
      </c>
      <c r="B7" s="218"/>
      <c r="C7" s="212"/>
      <c r="D7" s="211"/>
      <c r="E7" s="211"/>
      <c r="F7" s="222"/>
      <c r="G7" s="218"/>
      <c r="H7" s="212"/>
      <c r="I7" s="211"/>
      <c r="O7" s="204"/>
      <c r="AC7" s="195"/>
    </row>
    <row r="8" spans="1:29">
      <c r="A8" s="207" t="s">
        <v>1570</v>
      </c>
      <c r="B8" s="218"/>
      <c r="C8" s="212"/>
      <c r="D8" s="211"/>
      <c r="E8" s="211"/>
      <c r="F8" s="222"/>
      <c r="G8" s="218"/>
      <c r="H8" s="212"/>
      <c r="I8" s="211"/>
      <c r="O8" s="204"/>
      <c r="AC8" s="195"/>
    </row>
    <row r="9" spans="1:29">
      <c r="A9" s="207" t="s">
        <v>1571</v>
      </c>
      <c r="B9" s="218"/>
      <c r="C9" s="212"/>
      <c r="D9" s="211"/>
      <c r="E9" s="211"/>
      <c r="F9" s="222"/>
      <c r="G9" s="218"/>
      <c r="H9" s="212"/>
      <c r="I9" s="211"/>
      <c r="O9" s="204"/>
      <c r="AC9" s="195"/>
    </row>
    <row r="10" spans="1:29">
      <c r="A10" s="207" t="s">
        <v>1572</v>
      </c>
      <c r="B10" s="218"/>
      <c r="C10" s="212"/>
      <c r="D10" s="211"/>
      <c r="E10" s="211"/>
      <c r="F10" s="222"/>
      <c r="G10" s="218"/>
      <c r="H10" s="212"/>
      <c r="I10" s="211"/>
      <c r="O10" s="204"/>
      <c r="AC10" s="195"/>
    </row>
    <row r="11" spans="1:29">
      <c r="A11" s="207" t="s">
        <v>1573</v>
      </c>
      <c r="B11" s="218"/>
      <c r="C11" s="212"/>
      <c r="D11" s="211"/>
      <c r="E11" s="211"/>
      <c r="F11" s="222"/>
      <c r="G11" s="218"/>
      <c r="H11" s="212"/>
      <c r="I11" s="211"/>
      <c r="O11" s="204"/>
      <c r="AC11" s="195"/>
    </row>
    <row r="12" spans="1:29">
      <c r="A12" s="207" t="s">
        <v>1574</v>
      </c>
      <c r="B12" s="218"/>
      <c r="C12" s="212"/>
      <c r="D12" s="211"/>
      <c r="E12" s="211"/>
      <c r="F12" s="222"/>
      <c r="G12" s="218"/>
      <c r="H12" s="212"/>
      <c r="I12" s="211"/>
      <c r="O12" s="204"/>
      <c r="AC12" s="195"/>
    </row>
    <row r="13" spans="1:29">
      <c r="A13" s="207" t="s">
        <v>1575</v>
      </c>
      <c r="B13" s="218"/>
      <c r="C13" s="212"/>
      <c r="D13" s="211"/>
      <c r="E13" s="211"/>
      <c r="F13" s="222"/>
      <c r="G13" s="218"/>
      <c r="H13" s="212"/>
      <c r="I13" s="211"/>
      <c r="O13" s="204"/>
      <c r="AC13" s="195"/>
    </row>
    <row r="14" spans="1:29">
      <c r="A14" s="207" t="s">
        <v>1576</v>
      </c>
      <c r="B14" s="218"/>
      <c r="C14" s="212"/>
      <c r="D14" s="211"/>
      <c r="E14" s="211"/>
      <c r="F14" s="222"/>
      <c r="G14" s="218"/>
      <c r="H14" s="212"/>
      <c r="I14" s="211"/>
      <c r="O14" s="204"/>
      <c r="AC14" s="195"/>
    </row>
    <row r="15" spans="1:29">
      <c r="A15" s="207" t="s">
        <v>1577</v>
      </c>
      <c r="B15" s="218"/>
      <c r="C15" s="212"/>
      <c r="D15" s="211"/>
      <c r="E15" s="211"/>
      <c r="F15" s="222"/>
      <c r="G15" s="218"/>
      <c r="H15" s="212"/>
      <c r="I15" s="211"/>
      <c r="O15" s="204"/>
      <c r="AC15" s="195"/>
    </row>
    <row r="16" spans="1:29">
      <c r="A16" s="207" t="s">
        <v>1578</v>
      </c>
      <c r="B16" s="218"/>
      <c r="C16" s="212"/>
      <c r="D16" s="211"/>
      <c r="E16" s="211"/>
      <c r="F16" s="222"/>
      <c r="G16" s="218"/>
      <c r="H16" s="212"/>
      <c r="I16" s="211"/>
      <c r="O16" s="204"/>
      <c r="AC16" s="195"/>
    </row>
    <row r="17" spans="1:29">
      <c r="A17" s="207" t="s">
        <v>1579</v>
      </c>
      <c r="B17" s="218"/>
      <c r="C17" s="212"/>
      <c r="D17" s="211"/>
      <c r="E17" s="211"/>
      <c r="F17" s="222"/>
      <c r="G17" s="218"/>
      <c r="H17" s="212"/>
      <c r="I17" s="211"/>
      <c r="O17" s="204"/>
      <c r="AC17" s="195"/>
    </row>
    <row r="18" spans="1:29">
      <c r="A18" s="207" t="s">
        <v>1580</v>
      </c>
      <c r="B18" s="218"/>
      <c r="C18" s="212"/>
      <c r="D18" s="211"/>
      <c r="E18" s="211"/>
      <c r="F18" s="222"/>
      <c r="G18" s="218"/>
      <c r="H18" s="212"/>
      <c r="I18" s="211"/>
      <c r="O18" s="204"/>
      <c r="AC18" s="195"/>
    </row>
    <row r="19" spans="1:29">
      <c r="A19" s="207" t="s">
        <v>1581</v>
      </c>
      <c r="B19" s="218"/>
      <c r="C19" s="212"/>
      <c r="D19" s="211"/>
      <c r="E19" s="211"/>
      <c r="F19" s="222"/>
      <c r="G19" s="218"/>
      <c r="H19" s="212"/>
      <c r="I19" s="211"/>
      <c r="O19" s="204"/>
      <c r="AC19" s="195"/>
    </row>
    <row r="20" spans="1:29">
      <c r="A20" s="207" t="s">
        <v>1582</v>
      </c>
      <c r="B20" s="218"/>
      <c r="C20" s="212"/>
      <c r="D20" s="211"/>
      <c r="E20" s="211"/>
      <c r="F20" s="222"/>
      <c r="G20" s="218"/>
      <c r="H20" s="212"/>
      <c r="I20" s="211"/>
      <c r="O20" s="204"/>
      <c r="AC20" s="195"/>
    </row>
    <row r="21" spans="1:29">
      <c r="A21" s="207" t="s">
        <v>1583</v>
      </c>
      <c r="B21" s="218"/>
      <c r="C21" s="212"/>
      <c r="D21" s="211"/>
      <c r="E21" s="211"/>
      <c r="F21" s="222"/>
      <c r="G21" s="218"/>
      <c r="H21" s="212"/>
      <c r="I21" s="211"/>
      <c r="O21" s="204"/>
      <c r="AC21" s="195"/>
    </row>
    <row r="22" spans="1:29">
      <c r="A22" s="207" t="s">
        <v>1584</v>
      </c>
      <c r="B22" s="218"/>
      <c r="C22" s="212"/>
      <c r="D22" s="211"/>
      <c r="E22" s="211"/>
      <c r="F22" s="222"/>
      <c r="G22" s="218"/>
      <c r="H22" s="212"/>
      <c r="I22" s="211"/>
      <c r="O22" s="204"/>
      <c r="AC22" s="195"/>
    </row>
    <row r="23" spans="1:29">
      <c r="A23" s="207" t="s">
        <v>1585</v>
      </c>
      <c r="B23" s="218"/>
      <c r="C23" s="212"/>
      <c r="D23" s="211"/>
      <c r="E23" s="211"/>
      <c r="F23" s="222"/>
      <c r="G23" s="218"/>
      <c r="H23" s="212"/>
      <c r="I23" s="211"/>
      <c r="O23" s="204"/>
      <c r="AC23" s="195"/>
    </row>
    <row r="24" spans="1:29">
      <c r="A24" s="207" t="s">
        <v>1586</v>
      </c>
      <c r="B24" s="218"/>
      <c r="C24" s="212"/>
      <c r="D24" s="211"/>
      <c r="E24" s="211"/>
      <c r="F24" s="222"/>
      <c r="G24" s="218"/>
      <c r="H24" s="212"/>
      <c r="I24" s="211"/>
      <c r="O24" s="204"/>
      <c r="AC24" s="195"/>
    </row>
    <row r="25" spans="1:29">
      <c r="A25" s="207" t="s">
        <v>1587</v>
      </c>
      <c r="B25" s="218"/>
      <c r="C25" s="212"/>
      <c r="D25" s="211"/>
      <c r="E25" s="211"/>
      <c r="F25" s="222"/>
      <c r="G25" s="218"/>
      <c r="H25" s="212"/>
      <c r="I25" s="211"/>
      <c r="O25" s="204"/>
      <c r="AC25" s="195"/>
    </row>
    <row r="26" spans="1:29">
      <c r="A26" s="207" t="s">
        <v>1588</v>
      </c>
      <c r="B26" s="218"/>
      <c r="C26" s="212"/>
      <c r="D26" s="211"/>
      <c r="E26" s="211"/>
      <c r="F26" s="222"/>
      <c r="G26" s="218"/>
      <c r="H26" s="212"/>
      <c r="I26" s="211"/>
      <c r="O26" s="204"/>
      <c r="AC26" s="195"/>
    </row>
    <row r="27" spans="1:29">
      <c r="A27" s="207" t="s">
        <v>1589</v>
      </c>
      <c r="B27" s="218"/>
      <c r="C27" s="212"/>
      <c r="D27" s="211"/>
      <c r="E27" s="211"/>
      <c r="F27" s="222"/>
      <c r="G27" s="218"/>
      <c r="H27" s="212"/>
      <c r="I27" s="211"/>
      <c r="O27" s="204"/>
      <c r="AC27" s="195"/>
    </row>
    <row r="28" spans="1:29">
      <c r="A28" s="207" t="s">
        <v>1590</v>
      </c>
      <c r="B28" s="218"/>
      <c r="C28" s="212"/>
      <c r="D28" s="211"/>
      <c r="E28" s="211"/>
      <c r="F28" s="222"/>
      <c r="G28" s="218"/>
      <c r="H28" s="212"/>
      <c r="I28" s="211"/>
      <c r="O28" s="204"/>
      <c r="AC28" s="195"/>
    </row>
    <row r="29" spans="1:29">
      <c r="A29" s="207" t="s">
        <v>1591</v>
      </c>
      <c r="B29" s="218"/>
      <c r="C29" s="212"/>
      <c r="D29" s="211"/>
      <c r="E29" s="211"/>
      <c r="F29" s="222"/>
      <c r="G29" s="218"/>
      <c r="H29" s="212"/>
      <c r="I29" s="211"/>
      <c r="O29" s="204"/>
      <c r="AC29" s="195"/>
    </row>
    <row r="30" spans="1:29">
      <c r="A30" s="207" t="s">
        <v>1592</v>
      </c>
      <c r="B30" s="218"/>
      <c r="C30" s="212"/>
      <c r="D30" s="211"/>
      <c r="E30" s="211"/>
      <c r="F30" s="222"/>
      <c r="G30" s="218"/>
      <c r="H30" s="212"/>
      <c r="I30" s="211"/>
      <c r="O30" s="204"/>
      <c r="AC30" s="195"/>
    </row>
    <row r="31" spans="1:29">
      <c r="A31" s="207" t="s">
        <v>1593</v>
      </c>
      <c r="B31" s="218"/>
      <c r="C31" s="212"/>
      <c r="D31" s="211"/>
      <c r="E31" s="211"/>
      <c r="F31" s="222"/>
      <c r="G31" s="218"/>
      <c r="H31" s="212"/>
      <c r="I31" s="211"/>
      <c r="O31" s="204"/>
      <c r="AC31" s="195"/>
    </row>
    <row r="32" spans="1:29">
      <c r="A32" s="207" t="s">
        <v>1594</v>
      </c>
      <c r="B32" s="218"/>
      <c r="C32" s="212"/>
      <c r="D32" s="211"/>
      <c r="E32" s="211"/>
      <c r="F32" s="222"/>
      <c r="G32" s="218"/>
      <c r="H32" s="212"/>
      <c r="I32" s="211"/>
      <c r="O32" s="204"/>
      <c r="AC32" s="195"/>
    </row>
    <row r="33" spans="1:29">
      <c r="A33" s="207" t="s">
        <v>1595</v>
      </c>
      <c r="B33" s="218"/>
      <c r="C33" s="212"/>
      <c r="D33" s="211"/>
      <c r="E33" s="211"/>
      <c r="F33" s="222"/>
      <c r="G33" s="218"/>
      <c r="H33" s="212"/>
      <c r="I33" s="211"/>
      <c r="O33" s="204"/>
      <c r="AC33" s="195"/>
    </row>
    <row r="34" spans="1:29" ht="15.75" thickBot="1">
      <c r="A34" s="208" t="s">
        <v>1596</v>
      </c>
      <c r="B34" s="219"/>
      <c r="C34" s="209"/>
      <c r="D34" s="192"/>
      <c r="E34" s="192"/>
      <c r="F34" s="223"/>
      <c r="G34" s="219"/>
      <c r="H34" s="209"/>
      <c r="I34" s="192"/>
      <c r="O34" s="204"/>
      <c r="P34"/>
      <c r="Q34"/>
      <c r="R34"/>
      <c r="S34"/>
      <c r="T34"/>
      <c r="U34"/>
      <c r="V34"/>
      <c r="W34"/>
      <c r="X34"/>
      <c r="Y34"/>
      <c r="Z34"/>
      <c r="AA34"/>
      <c r="AB34"/>
    </row>
    <row r="37" spans="1:29" ht="15.75" thickBot="1"/>
    <row r="38" spans="1:29" ht="45.75" thickBot="1">
      <c r="A38" s="198" t="s">
        <v>1597</v>
      </c>
      <c r="B38" s="215" t="s">
        <v>1560</v>
      </c>
      <c r="C38" s="213" t="s">
        <v>1561</v>
      </c>
      <c r="D38" s="199" t="s">
        <v>1562</v>
      </c>
      <c r="E38" s="199" t="s">
        <v>1563</v>
      </c>
      <c r="F38" s="220" t="s">
        <v>119</v>
      </c>
      <c r="G38" s="215" t="s">
        <v>1564</v>
      </c>
      <c r="H38" s="224" t="s">
        <v>1561</v>
      </c>
      <c r="I38" s="200" t="s">
        <v>119</v>
      </c>
    </row>
    <row r="39" spans="1:29">
      <c r="A39" s="203" t="s">
        <v>175</v>
      </c>
      <c r="B39" s="216"/>
      <c r="C39" s="214"/>
      <c r="D39" s="210"/>
      <c r="E39" s="210"/>
      <c r="F39" s="221"/>
      <c r="G39" s="225"/>
      <c r="H39" s="214"/>
      <c r="I39" s="210"/>
    </row>
    <row r="40" spans="1:29">
      <c r="A40" s="205" t="s">
        <v>1565</v>
      </c>
      <c r="B40" s="217" t="s">
        <v>1566</v>
      </c>
      <c r="C40" s="212"/>
      <c r="D40" s="211"/>
      <c r="E40" s="211"/>
      <c r="F40" s="222"/>
      <c r="G40" s="218"/>
      <c r="H40" s="212"/>
      <c r="I40" s="211"/>
    </row>
    <row r="41" spans="1:29">
      <c r="A41" s="207" t="s">
        <v>1567</v>
      </c>
      <c r="B41" s="218"/>
      <c r="C41" s="212"/>
      <c r="D41" s="211"/>
      <c r="E41" s="211"/>
      <c r="F41" s="222"/>
      <c r="G41" s="218"/>
      <c r="H41" s="212"/>
      <c r="I41" s="211"/>
    </row>
    <row r="42" spans="1:29">
      <c r="A42" s="207" t="s">
        <v>1568</v>
      </c>
      <c r="B42" s="218"/>
      <c r="C42" s="212"/>
      <c r="D42" s="211"/>
      <c r="E42" s="211"/>
      <c r="F42" s="222"/>
      <c r="G42" s="218"/>
      <c r="H42" s="212"/>
      <c r="I42" s="211"/>
    </row>
    <row r="43" spans="1:29">
      <c r="A43" s="207" t="s">
        <v>1569</v>
      </c>
      <c r="B43" s="218"/>
      <c r="C43" s="212"/>
      <c r="D43" s="211"/>
      <c r="E43" s="211"/>
      <c r="F43" s="222"/>
      <c r="G43" s="218"/>
      <c r="H43" s="212"/>
      <c r="I43" s="211"/>
    </row>
    <row r="44" spans="1:29">
      <c r="A44" s="207" t="s">
        <v>1570</v>
      </c>
      <c r="B44" s="218"/>
      <c r="C44" s="212"/>
      <c r="D44" s="211"/>
      <c r="E44" s="211"/>
      <c r="F44" s="222"/>
      <c r="G44" s="218"/>
      <c r="H44" s="212"/>
      <c r="I44" s="211"/>
    </row>
    <row r="45" spans="1:29">
      <c r="A45" s="207" t="s">
        <v>1571</v>
      </c>
      <c r="B45" s="218"/>
      <c r="C45" s="212"/>
      <c r="D45" s="211"/>
      <c r="E45" s="211"/>
      <c r="F45" s="222"/>
      <c r="G45" s="218"/>
      <c r="H45" s="212"/>
      <c r="I45" s="211"/>
    </row>
    <row r="46" spans="1:29">
      <c r="A46" s="207" t="s">
        <v>1572</v>
      </c>
      <c r="B46" s="218"/>
      <c r="C46" s="212"/>
      <c r="D46" s="211"/>
      <c r="E46" s="211"/>
      <c r="F46" s="222"/>
      <c r="G46" s="218"/>
      <c r="H46" s="212"/>
      <c r="I46" s="211"/>
    </row>
    <row r="47" spans="1:29">
      <c r="A47" s="207" t="s">
        <v>1573</v>
      </c>
      <c r="B47" s="218"/>
      <c r="C47" s="212"/>
      <c r="D47" s="211"/>
      <c r="E47" s="211"/>
      <c r="F47" s="222"/>
      <c r="G47" s="218"/>
      <c r="H47" s="212"/>
      <c r="I47" s="211"/>
    </row>
    <row r="48" spans="1:29">
      <c r="A48" s="207" t="s">
        <v>1574</v>
      </c>
      <c r="B48" s="218"/>
      <c r="C48" s="212"/>
      <c r="D48" s="211"/>
      <c r="E48" s="211"/>
      <c r="F48" s="222"/>
      <c r="G48" s="218"/>
      <c r="H48" s="212"/>
      <c r="I48" s="211"/>
    </row>
    <row r="49" spans="1:9">
      <c r="A49" s="207" t="s">
        <v>1575</v>
      </c>
      <c r="B49" s="218"/>
      <c r="C49" s="212"/>
      <c r="D49" s="211"/>
      <c r="E49" s="211"/>
      <c r="F49" s="222"/>
      <c r="G49" s="218"/>
      <c r="H49" s="212"/>
      <c r="I49" s="211"/>
    </row>
    <row r="50" spans="1:9">
      <c r="A50" s="207" t="s">
        <v>1576</v>
      </c>
      <c r="B50" s="218"/>
      <c r="C50" s="212"/>
      <c r="D50" s="211"/>
      <c r="E50" s="211"/>
      <c r="F50" s="222"/>
      <c r="G50" s="218"/>
      <c r="H50" s="212"/>
      <c r="I50" s="211"/>
    </row>
    <row r="51" spans="1:9">
      <c r="A51" s="207" t="s">
        <v>1577</v>
      </c>
      <c r="B51" s="218"/>
      <c r="C51" s="212"/>
      <c r="D51" s="211"/>
      <c r="E51" s="211"/>
      <c r="F51" s="222"/>
      <c r="G51" s="218"/>
      <c r="H51" s="212"/>
      <c r="I51" s="211"/>
    </row>
    <row r="52" spans="1:9">
      <c r="A52" s="207" t="s">
        <v>1578</v>
      </c>
      <c r="B52" s="218"/>
      <c r="C52" s="212"/>
      <c r="D52" s="211"/>
      <c r="E52" s="211"/>
      <c r="F52" s="222"/>
      <c r="G52" s="218"/>
      <c r="H52" s="212"/>
      <c r="I52" s="211"/>
    </row>
    <row r="53" spans="1:9">
      <c r="A53" s="207" t="s">
        <v>1579</v>
      </c>
      <c r="B53" s="218"/>
      <c r="C53" s="212"/>
      <c r="D53" s="211"/>
      <c r="E53" s="211"/>
      <c r="F53" s="222"/>
      <c r="G53" s="218"/>
      <c r="H53" s="212"/>
      <c r="I53" s="211"/>
    </row>
    <row r="54" spans="1:9">
      <c r="A54" s="207" t="s">
        <v>1580</v>
      </c>
      <c r="B54" s="218"/>
      <c r="C54" s="212"/>
      <c r="D54" s="211"/>
      <c r="E54" s="211"/>
      <c r="F54" s="222"/>
      <c r="G54" s="218"/>
      <c r="H54" s="212"/>
      <c r="I54" s="211"/>
    </row>
    <row r="55" spans="1:9">
      <c r="A55" s="207" t="s">
        <v>1581</v>
      </c>
      <c r="B55" s="218"/>
      <c r="C55" s="212"/>
      <c r="D55" s="211"/>
      <c r="E55" s="211"/>
      <c r="F55" s="222"/>
      <c r="G55" s="218"/>
      <c r="H55" s="212"/>
      <c r="I55" s="211"/>
    </row>
    <row r="56" spans="1:9">
      <c r="A56" s="207" t="s">
        <v>1582</v>
      </c>
      <c r="B56" s="218"/>
      <c r="C56" s="212"/>
      <c r="D56" s="211"/>
      <c r="E56" s="211"/>
      <c r="F56" s="222"/>
      <c r="G56" s="218"/>
      <c r="H56" s="212"/>
      <c r="I56" s="211"/>
    </row>
    <row r="57" spans="1:9">
      <c r="A57" s="207" t="s">
        <v>1583</v>
      </c>
      <c r="B57" s="218"/>
      <c r="C57" s="212"/>
      <c r="D57" s="211"/>
      <c r="E57" s="211"/>
      <c r="F57" s="222"/>
      <c r="G57" s="218"/>
      <c r="H57" s="212"/>
      <c r="I57" s="211"/>
    </row>
    <row r="58" spans="1:9">
      <c r="A58" s="207" t="s">
        <v>1584</v>
      </c>
      <c r="B58" s="218"/>
      <c r="C58" s="212"/>
      <c r="D58" s="211"/>
      <c r="E58" s="211"/>
      <c r="F58" s="222"/>
      <c r="G58" s="218"/>
      <c r="H58" s="212"/>
      <c r="I58" s="211"/>
    </row>
    <row r="59" spans="1:9">
      <c r="A59" s="207" t="s">
        <v>1585</v>
      </c>
      <c r="B59" s="218"/>
      <c r="C59" s="212"/>
      <c r="D59" s="211"/>
      <c r="E59" s="211"/>
      <c r="F59" s="222"/>
      <c r="G59" s="218"/>
      <c r="H59" s="212"/>
      <c r="I59" s="211"/>
    </row>
    <row r="60" spans="1:9">
      <c r="A60" s="207" t="s">
        <v>1586</v>
      </c>
      <c r="B60" s="218"/>
      <c r="C60" s="212"/>
      <c r="D60" s="211"/>
      <c r="E60" s="211"/>
      <c r="F60" s="222"/>
      <c r="G60" s="218"/>
      <c r="H60" s="212"/>
      <c r="I60" s="211"/>
    </row>
    <row r="61" spans="1:9">
      <c r="A61" s="207" t="s">
        <v>1587</v>
      </c>
      <c r="B61" s="218"/>
      <c r="C61" s="212"/>
      <c r="D61" s="211"/>
      <c r="E61" s="211"/>
      <c r="F61" s="222"/>
      <c r="G61" s="218"/>
      <c r="H61" s="212"/>
      <c r="I61" s="211"/>
    </row>
    <row r="62" spans="1:9">
      <c r="A62" s="207" t="s">
        <v>1588</v>
      </c>
      <c r="B62" s="218"/>
      <c r="C62" s="212"/>
      <c r="D62" s="211"/>
      <c r="E62" s="211"/>
      <c r="F62" s="222"/>
      <c r="G62" s="218"/>
      <c r="H62" s="212"/>
      <c r="I62" s="211"/>
    </row>
    <row r="63" spans="1:9">
      <c r="A63" s="207" t="s">
        <v>1589</v>
      </c>
      <c r="B63" s="218"/>
      <c r="C63" s="212"/>
      <c r="D63" s="211"/>
      <c r="E63" s="211"/>
      <c r="F63" s="222"/>
      <c r="G63" s="218"/>
      <c r="H63" s="212"/>
      <c r="I63" s="211"/>
    </row>
    <row r="64" spans="1:9">
      <c r="A64" s="207" t="s">
        <v>1590</v>
      </c>
      <c r="B64" s="218"/>
      <c r="C64" s="212"/>
      <c r="D64" s="211"/>
      <c r="E64" s="211"/>
      <c r="F64" s="222"/>
      <c r="G64" s="218"/>
      <c r="H64" s="212"/>
      <c r="I64" s="211"/>
    </row>
    <row r="65" spans="1:9">
      <c r="A65" s="207" t="s">
        <v>1591</v>
      </c>
      <c r="B65" s="218"/>
      <c r="C65" s="212"/>
      <c r="D65" s="211"/>
      <c r="E65" s="211"/>
      <c r="F65" s="222"/>
      <c r="G65" s="218"/>
      <c r="H65" s="212"/>
      <c r="I65" s="211"/>
    </row>
    <row r="66" spans="1:9">
      <c r="A66" s="207" t="s">
        <v>1592</v>
      </c>
      <c r="B66" s="218"/>
      <c r="C66" s="212"/>
      <c r="D66" s="211"/>
      <c r="E66" s="211"/>
      <c r="F66" s="222"/>
      <c r="G66" s="218"/>
      <c r="H66" s="212"/>
      <c r="I66" s="211"/>
    </row>
    <row r="67" spans="1:9">
      <c r="A67" s="207" t="s">
        <v>1593</v>
      </c>
      <c r="B67" s="218"/>
      <c r="C67" s="212"/>
      <c r="D67" s="211"/>
      <c r="E67" s="211"/>
      <c r="F67" s="222"/>
      <c r="G67" s="218"/>
      <c r="H67" s="212"/>
      <c r="I67" s="211"/>
    </row>
    <row r="68" spans="1:9">
      <c r="A68" s="207" t="s">
        <v>1594</v>
      </c>
      <c r="B68" s="218"/>
      <c r="C68" s="212"/>
      <c r="D68" s="211"/>
      <c r="E68" s="211"/>
      <c r="F68" s="222"/>
      <c r="G68" s="218"/>
      <c r="H68" s="212"/>
      <c r="I68" s="211"/>
    </row>
    <row r="69" spans="1:9">
      <c r="A69" s="207" t="s">
        <v>1595</v>
      </c>
      <c r="B69" s="218"/>
      <c r="C69" s="212"/>
      <c r="D69" s="211"/>
      <c r="E69" s="211"/>
      <c r="F69" s="222"/>
      <c r="G69" s="218"/>
      <c r="H69" s="212"/>
      <c r="I69" s="211"/>
    </row>
    <row r="70" spans="1:9" ht="15.75" thickBot="1">
      <c r="A70" s="208" t="s">
        <v>1596</v>
      </c>
      <c r="B70" s="219"/>
      <c r="C70" s="209"/>
      <c r="D70" s="192"/>
      <c r="E70" s="192"/>
      <c r="F70" s="223"/>
      <c r="G70" s="219"/>
      <c r="H70" s="209"/>
      <c r="I70" s="192"/>
    </row>
  </sheetData>
  <pageMargins left="0.7" right="0.7" top="0.75" bottom="0.75" header="0.3" footer="0.3"/>
  <pageSetup paperSize="9" scale="6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1"/>
  <dimension ref="A1:AC70"/>
  <sheetViews>
    <sheetView view="pageBreakPreview" zoomScale="60" zoomScaleNormal="100" workbookViewId="0">
      <selection activeCell="Q35" sqref="Q35"/>
    </sheetView>
  </sheetViews>
  <sheetFormatPr defaultColWidth="8.85546875" defaultRowHeight="15"/>
  <cols>
    <col min="1" max="1" width="21.42578125" customWidth="1"/>
    <col min="2" max="2" width="14.42578125" customWidth="1"/>
    <col min="3" max="3" width="14.28515625" style="195" customWidth="1"/>
    <col min="4" max="4" width="14.140625" style="195" customWidth="1"/>
    <col min="5" max="5" width="14.85546875" style="195" customWidth="1"/>
    <col min="6" max="6" width="11.85546875" style="195" customWidth="1"/>
    <col min="7" max="7" width="15.85546875" style="195" customWidth="1"/>
    <col min="8" max="8" width="13.42578125" style="195" customWidth="1"/>
    <col min="9" max="28" width="8.42578125" style="195" customWidth="1"/>
  </cols>
  <sheetData>
    <row r="1" spans="1:29" ht="15.75" thickBot="1"/>
    <row r="2" spans="1:29" ht="48.75" customHeight="1" thickBot="1">
      <c r="A2" s="198" t="s">
        <v>1559</v>
      </c>
      <c r="B2" s="215" t="s">
        <v>1560</v>
      </c>
      <c r="C2" s="213" t="s">
        <v>1561</v>
      </c>
      <c r="D2" s="199" t="s">
        <v>1562</v>
      </c>
      <c r="E2" s="199" t="s">
        <v>1563</v>
      </c>
      <c r="F2" s="220" t="s">
        <v>119</v>
      </c>
      <c r="G2" s="215" t="s">
        <v>1564</v>
      </c>
      <c r="H2" s="224" t="s">
        <v>1561</v>
      </c>
      <c r="I2" s="200" t="s">
        <v>119</v>
      </c>
      <c r="O2" s="201"/>
      <c r="P2" s="202"/>
      <c r="Q2" s="202"/>
      <c r="R2" s="96"/>
      <c r="S2" s="96"/>
      <c r="T2" s="96"/>
      <c r="U2" s="96"/>
      <c r="V2" s="96"/>
      <c r="W2" s="96"/>
      <c r="X2" s="96"/>
      <c r="Y2" s="202"/>
      <c r="Z2" s="202"/>
      <c r="AA2" s="96"/>
      <c r="AB2" s="96"/>
      <c r="AC2" s="96"/>
    </row>
    <row r="3" spans="1:29">
      <c r="A3" s="203" t="s">
        <v>175</v>
      </c>
      <c r="B3" s="216"/>
      <c r="C3" s="214"/>
      <c r="D3" s="210"/>
      <c r="E3" s="210"/>
      <c r="F3" s="221"/>
      <c r="G3" s="225"/>
      <c r="H3" s="214"/>
      <c r="I3" s="210"/>
      <c r="O3" s="204"/>
      <c r="P3"/>
      <c r="AC3" s="195"/>
    </row>
    <row r="4" spans="1:29">
      <c r="A4" s="205" t="s">
        <v>1565</v>
      </c>
      <c r="B4" s="217" t="s">
        <v>1566</v>
      </c>
      <c r="C4" s="212"/>
      <c r="D4" s="211"/>
      <c r="E4" s="211"/>
      <c r="F4" s="222"/>
      <c r="G4" s="218"/>
      <c r="H4" s="212"/>
      <c r="I4" s="211"/>
      <c r="O4" s="204"/>
      <c r="P4" s="206"/>
      <c r="AC4" s="195"/>
    </row>
    <row r="5" spans="1:29" ht="15.75" customHeight="1">
      <c r="A5" s="207" t="s">
        <v>1567</v>
      </c>
      <c r="B5" s="218"/>
      <c r="C5" s="212"/>
      <c r="D5" s="211"/>
      <c r="E5" s="211"/>
      <c r="F5" s="222"/>
      <c r="G5" s="218"/>
      <c r="H5" s="212"/>
      <c r="I5" s="211"/>
      <c r="O5" s="204"/>
      <c r="AC5" s="195"/>
    </row>
    <row r="6" spans="1:29">
      <c r="A6" s="207" t="s">
        <v>1568</v>
      </c>
      <c r="B6" s="218"/>
      <c r="C6" s="212"/>
      <c r="D6" s="211"/>
      <c r="E6" s="211"/>
      <c r="F6" s="222"/>
      <c r="G6" s="218"/>
      <c r="H6" s="212"/>
      <c r="I6" s="211"/>
      <c r="O6" s="204"/>
      <c r="AC6" s="195"/>
    </row>
    <row r="7" spans="1:29">
      <c r="A7" s="207" t="s">
        <v>1569</v>
      </c>
      <c r="B7" s="218"/>
      <c r="C7" s="212"/>
      <c r="D7" s="211"/>
      <c r="E7" s="211"/>
      <c r="F7" s="222"/>
      <c r="G7" s="218"/>
      <c r="H7" s="212"/>
      <c r="I7" s="211"/>
      <c r="O7" s="204"/>
      <c r="AC7" s="195"/>
    </row>
    <row r="8" spans="1:29">
      <c r="A8" s="207" t="s">
        <v>1570</v>
      </c>
      <c r="B8" s="218"/>
      <c r="C8" s="212"/>
      <c r="D8" s="211"/>
      <c r="E8" s="211"/>
      <c r="F8" s="222"/>
      <c r="G8" s="218"/>
      <c r="H8" s="212"/>
      <c r="I8" s="211"/>
      <c r="O8" s="204"/>
      <c r="AC8" s="195"/>
    </row>
    <row r="9" spans="1:29">
      <c r="A9" s="207" t="s">
        <v>1571</v>
      </c>
      <c r="B9" s="218"/>
      <c r="C9" s="212"/>
      <c r="D9" s="211"/>
      <c r="E9" s="211"/>
      <c r="F9" s="222"/>
      <c r="G9" s="218"/>
      <c r="H9" s="212"/>
      <c r="I9" s="211"/>
      <c r="O9" s="204"/>
      <c r="AC9" s="195"/>
    </row>
    <row r="10" spans="1:29">
      <c r="A10" s="207" t="s">
        <v>1572</v>
      </c>
      <c r="B10" s="218"/>
      <c r="C10" s="212"/>
      <c r="D10" s="211"/>
      <c r="E10" s="211"/>
      <c r="F10" s="222"/>
      <c r="G10" s="218"/>
      <c r="H10" s="212"/>
      <c r="I10" s="211"/>
      <c r="O10" s="204"/>
      <c r="AC10" s="195"/>
    </row>
    <row r="11" spans="1:29">
      <c r="A11" s="207" t="s">
        <v>1573</v>
      </c>
      <c r="B11" s="218"/>
      <c r="C11" s="212"/>
      <c r="D11" s="211"/>
      <c r="E11" s="211"/>
      <c r="F11" s="222"/>
      <c r="G11" s="218"/>
      <c r="H11" s="212"/>
      <c r="I11" s="211"/>
      <c r="O11" s="204"/>
      <c r="AC11" s="195"/>
    </row>
    <row r="12" spans="1:29">
      <c r="A12" s="207" t="s">
        <v>1574</v>
      </c>
      <c r="B12" s="218"/>
      <c r="C12" s="212"/>
      <c r="D12" s="211"/>
      <c r="E12" s="211"/>
      <c r="F12" s="222"/>
      <c r="G12" s="218"/>
      <c r="H12" s="212"/>
      <c r="I12" s="211"/>
      <c r="O12" s="204"/>
      <c r="AC12" s="195"/>
    </row>
    <row r="13" spans="1:29">
      <c r="A13" s="207" t="s">
        <v>1575</v>
      </c>
      <c r="B13" s="218"/>
      <c r="C13" s="212"/>
      <c r="D13" s="211"/>
      <c r="E13" s="211"/>
      <c r="F13" s="222"/>
      <c r="G13" s="218"/>
      <c r="H13" s="212"/>
      <c r="I13" s="211"/>
      <c r="O13" s="204"/>
      <c r="AC13" s="195"/>
    </row>
    <row r="14" spans="1:29">
      <c r="A14" s="207" t="s">
        <v>1576</v>
      </c>
      <c r="B14" s="218"/>
      <c r="C14" s="212"/>
      <c r="D14" s="211"/>
      <c r="E14" s="211"/>
      <c r="F14" s="222"/>
      <c r="G14" s="218"/>
      <c r="H14" s="212"/>
      <c r="I14" s="211"/>
      <c r="O14" s="204"/>
      <c r="AC14" s="195"/>
    </row>
    <row r="15" spans="1:29">
      <c r="A15" s="207" t="s">
        <v>1577</v>
      </c>
      <c r="B15" s="218"/>
      <c r="C15" s="212"/>
      <c r="D15" s="211"/>
      <c r="E15" s="211"/>
      <c r="F15" s="222"/>
      <c r="G15" s="218"/>
      <c r="H15" s="212"/>
      <c r="I15" s="211"/>
      <c r="O15" s="204"/>
      <c r="AC15" s="195"/>
    </row>
    <row r="16" spans="1:29">
      <c r="A16" s="207" t="s">
        <v>1578</v>
      </c>
      <c r="B16" s="218"/>
      <c r="C16" s="212"/>
      <c r="D16" s="211"/>
      <c r="E16" s="211"/>
      <c r="F16" s="222"/>
      <c r="G16" s="218"/>
      <c r="H16" s="212"/>
      <c r="I16" s="211"/>
      <c r="O16" s="204"/>
      <c r="AC16" s="195"/>
    </row>
    <row r="17" spans="1:29">
      <c r="A17" s="207" t="s">
        <v>1579</v>
      </c>
      <c r="B17" s="218"/>
      <c r="C17" s="212"/>
      <c r="D17" s="211"/>
      <c r="E17" s="211"/>
      <c r="F17" s="222"/>
      <c r="G17" s="218"/>
      <c r="H17" s="212"/>
      <c r="I17" s="211"/>
      <c r="O17" s="204"/>
      <c r="AC17" s="195"/>
    </row>
    <row r="18" spans="1:29">
      <c r="A18" s="207" t="s">
        <v>1580</v>
      </c>
      <c r="B18" s="218"/>
      <c r="C18" s="212"/>
      <c r="D18" s="211"/>
      <c r="E18" s="211"/>
      <c r="F18" s="222"/>
      <c r="G18" s="218"/>
      <c r="H18" s="212"/>
      <c r="I18" s="211"/>
      <c r="O18" s="204"/>
      <c r="AC18" s="195"/>
    </row>
    <row r="19" spans="1:29">
      <c r="A19" s="207" t="s">
        <v>1581</v>
      </c>
      <c r="B19" s="218"/>
      <c r="C19" s="212"/>
      <c r="D19" s="211"/>
      <c r="E19" s="211"/>
      <c r="F19" s="222"/>
      <c r="G19" s="218"/>
      <c r="H19" s="212"/>
      <c r="I19" s="211"/>
      <c r="O19" s="204"/>
      <c r="AC19" s="195"/>
    </row>
    <row r="20" spans="1:29">
      <c r="A20" s="207" t="s">
        <v>1582</v>
      </c>
      <c r="B20" s="218"/>
      <c r="C20" s="212"/>
      <c r="D20" s="211"/>
      <c r="E20" s="211"/>
      <c r="F20" s="222"/>
      <c r="G20" s="218"/>
      <c r="H20" s="212"/>
      <c r="I20" s="211"/>
      <c r="O20" s="204"/>
      <c r="AC20" s="195"/>
    </row>
    <row r="21" spans="1:29">
      <c r="A21" s="207" t="s">
        <v>1583</v>
      </c>
      <c r="B21" s="218"/>
      <c r="C21" s="212"/>
      <c r="D21" s="211"/>
      <c r="E21" s="211"/>
      <c r="F21" s="222"/>
      <c r="G21" s="218"/>
      <c r="H21" s="212"/>
      <c r="I21" s="211"/>
      <c r="O21" s="204"/>
      <c r="AC21" s="195"/>
    </row>
    <row r="22" spans="1:29">
      <c r="A22" s="207" t="s">
        <v>1584</v>
      </c>
      <c r="B22" s="218"/>
      <c r="C22" s="212"/>
      <c r="D22" s="211"/>
      <c r="E22" s="211"/>
      <c r="F22" s="222"/>
      <c r="G22" s="218"/>
      <c r="H22" s="212"/>
      <c r="I22" s="211"/>
      <c r="O22" s="204"/>
      <c r="AC22" s="195"/>
    </row>
    <row r="23" spans="1:29">
      <c r="A23" s="207" t="s">
        <v>1585</v>
      </c>
      <c r="B23" s="218"/>
      <c r="C23" s="212"/>
      <c r="D23" s="211"/>
      <c r="E23" s="211"/>
      <c r="F23" s="222"/>
      <c r="G23" s="218"/>
      <c r="H23" s="212"/>
      <c r="I23" s="211"/>
      <c r="O23" s="204"/>
      <c r="AC23" s="195"/>
    </row>
    <row r="24" spans="1:29">
      <c r="A24" s="207" t="s">
        <v>1586</v>
      </c>
      <c r="B24" s="218"/>
      <c r="C24" s="212"/>
      <c r="D24" s="211"/>
      <c r="E24" s="211"/>
      <c r="F24" s="222"/>
      <c r="G24" s="218"/>
      <c r="H24" s="212"/>
      <c r="I24" s="211"/>
      <c r="O24" s="204"/>
      <c r="AC24" s="195"/>
    </row>
    <row r="25" spans="1:29">
      <c r="A25" s="207" t="s">
        <v>1587</v>
      </c>
      <c r="B25" s="218"/>
      <c r="C25" s="212"/>
      <c r="D25" s="211"/>
      <c r="E25" s="211"/>
      <c r="F25" s="222"/>
      <c r="G25" s="218"/>
      <c r="H25" s="212"/>
      <c r="I25" s="211"/>
      <c r="O25" s="204"/>
      <c r="AC25" s="195"/>
    </row>
    <row r="26" spans="1:29">
      <c r="A26" s="207" t="s">
        <v>1588</v>
      </c>
      <c r="B26" s="218"/>
      <c r="C26" s="212"/>
      <c r="D26" s="211"/>
      <c r="E26" s="211"/>
      <c r="F26" s="222"/>
      <c r="G26" s="218"/>
      <c r="H26" s="212"/>
      <c r="I26" s="211"/>
      <c r="O26" s="204"/>
      <c r="AC26" s="195"/>
    </row>
    <row r="27" spans="1:29">
      <c r="A27" s="207" t="s">
        <v>1589</v>
      </c>
      <c r="B27" s="218"/>
      <c r="C27" s="212"/>
      <c r="D27" s="211"/>
      <c r="E27" s="211"/>
      <c r="F27" s="222"/>
      <c r="G27" s="218"/>
      <c r="H27" s="212"/>
      <c r="I27" s="211"/>
      <c r="O27" s="204"/>
      <c r="AC27" s="195"/>
    </row>
    <row r="28" spans="1:29">
      <c r="A28" s="207" t="s">
        <v>1590</v>
      </c>
      <c r="B28" s="218"/>
      <c r="C28" s="212"/>
      <c r="D28" s="211"/>
      <c r="E28" s="211"/>
      <c r="F28" s="222"/>
      <c r="G28" s="218"/>
      <c r="H28" s="212"/>
      <c r="I28" s="211"/>
      <c r="O28" s="204"/>
      <c r="AC28" s="195"/>
    </row>
    <row r="29" spans="1:29">
      <c r="A29" s="207" t="s">
        <v>1591</v>
      </c>
      <c r="B29" s="218"/>
      <c r="C29" s="212"/>
      <c r="D29" s="211"/>
      <c r="E29" s="211"/>
      <c r="F29" s="222"/>
      <c r="G29" s="218"/>
      <c r="H29" s="212"/>
      <c r="I29" s="211"/>
      <c r="O29" s="204"/>
      <c r="AC29" s="195"/>
    </row>
    <row r="30" spans="1:29">
      <c r="A30" s="207" t="s">
        <v>1592</v>
      </c>
      <c r="B30" s="218"/>
      <c r="C30" s="212"/>
      <c r="D30" s="211"/>
      <c r="E30" s="211"/>
      <c r="F30" s="222"/>
      <c r="G30" s="218"/>
      <c r="H30" s="212"/>
      <c r="I30" s="211"/>
      <c r="O30" s="204"/>
      <c r="AC30" s="195"/>
    </row>
    <row r="31" spans="1:29">
      <c r="A31" s="207" t="s">
        <v>1593</v>
      </c>
      <c r="B31" s="218"/>
      <c r="C31" s="212"/>
      <c r="D31" s="211"/>
      <c r="E31" s="211"/>
      <c r="F31" s="222"/>
      <c r="G31" s="218"/>
      <c r="H31" s="212"/>
      <c r="I31" s="211"/>
      <c r="O31" s="204"/>
      <c r="AC31" s="195"/>
    </row>
    <row r="32" spans="1:29">
      <c r="A32" s="207" t="s">
        <v>1594</v>
      </c>
      <c r="B32" s="218"/>
      <c r="C32" s="212"/>
      <c r="D32" s="211"/>
      <c r="E32" s="211"/>
      <c r="F32" s="222"/>
      <c r="G32" s="218"/>
      <c r="H32" s="212"/>
      <c r="I32" s="211"/>
      <c r="O32" s="204"/>
      <c r="AC32" s="195"/>
    </row>
    <row r="33" spans="1:29">
      <c r="A33" s="207" t="s">
        <v>1595</v>
      </c>
      <c r="B33" s="218"/>
      <c r="C33" s="212"/>
      <c r="D33" s="211"/>
      <c r="E33" s="211"/>
      <c r="F33" s="222"/>
      <c r="G33" s="218"/>
      <c r="H33" s="212"/>
      <c r="I33" s="211"/>
      <c r="O33" s="204"/>
      <c r="AC33" s="195"/>
    </row>
    <row r="34" spans="1:29" ht="15.75" thickBot="1">
      <c r="A34" s="208" t="s">
        <v>1596</v>
      </c>
      <c r="B34" s="219"/>
      <c r="C34" s="209"/>
      <c r="D34" s="192"/>
      <c r="E34" s="192"/>
      <c r="F34" s="223"/>
      <c r="G34" s="219"/>
      <c r="H34" s="209"/>
      <c r="I34" s="192"/>
      <c r="O34" s="204"/>
      <c r="P34"/>
      <c r="Q34"/>
      <c r="R34"/>
      <c r="S34"/>
      <c r="T34"/>
      <c r="U34"/>
      <c r="V34"/>
      <c r="W34"/>
      <c r="X34"/>
      <c r="Y34"/>
      <c r="Z34"/>
      <c r="AA34"/>
      <c r="AB34"/>
    </row>
    <row r="37" spans="1:29" ht="15.75" thickBot="1"/>
    <row r="38" spans="1:29" ht="45.75" thickBot="1">
      <c r="A38" s="198" t="s">
        <v>1597</v>
      </c>
      <c r="B38" s="215" t="s">
        <v>1560</v>
      </c>
      <c r="C38" s="213" t="s">
        <v>1561</v>
      </c>
      <c r="D38" s="199" t="s">
        <v>1562</v>
      </c>
      <c r="E38" s="199" t="s">
        <v>1563</v>
      </c>
      <c r="F38" s="220" t="s">
        <v>119</v>
      </c>
      <c r="G38" s="215" t="s">
        <v>1564</v>
      </c>
      <c r="H38" s="224" t="s">
        <v>1561</v>
      </c>
      <c r="I38" s="200" t="s">
        <v>119</v>
      </c>
    </row>
    <row r="39" spans="1:29">
      <c r="A39" s="203" t="s">
        <v>175</v>
      </c>
      <c r="B39" s="216"/>
      <c r="C39" s="214"/>
      <c r="D39" s="210"/>
      <c r="E39" s="210"/>
      <c r="F39" s="221"/>
      <c r="G39" s="225"/>
      <c r="H39" s="214"/>
      <c r="I39" s="210"/>
    </row>
    <row r="40" spans="1:29">
      <c r="A40" s="205" t="s">
        <v>1565</v>
      </c>
      <c r="B40" s="217" t="s">
        <v>1566</v>
      </c>
      <c r="C40" s="212"/>
      <c r="D40" s="211"/>
      <c r="E40" s="211"/>
      <c r="F40" s="222"/>
      <c r="G40" s="218"/>
      <c r="H40" s="212"/>
      <c r="I40" s="211"/>
    </row>
    <row r="41" spans="1:29">
      <c r="A41" s="207" t="s">
        <v>1567</v>
      </c>
      <c r="B41" s="218"/>
      <c r="C41" s="212"/>
      <c r="D41" s="211"/>
      <c r="E41" s="211"/>
      <c r="F41" s="222"/>
      <c r="G41" s="218"/>
      <c r="H41" s="212"/>
      <c r="I41" s="211"/>
    </row>
    <row r="42" spans="1:29">
      <c r="A42" s="207" t="s">
        <v>1568</v>
      </c>
      <c r="B42" s="218"/>
      <c r="C42" s="212"/>
      <c r="D42" s="211"/>
      <c r="E42" s="211"/>
      <c r="F42" s="222"/>
      <c r="G42" s="218"/>
      <c r="H42" s="212"/>
      <c r="I42" s="211"/>
    </row>
    <row r="43" spans="1:29">
      <c r="A43" s="207" t="s">
        <v>1569</v>
      </c>
      <c r="B43" s="218"/>
      <c r="C43" s="212"/>
      <c r="D43" s="211"/>
      <c r="E43" s="211"/>
      <c r="F43" s="222"/>
      <c r="G43" s="218"/>
      <c r="H43" s="212"/>
      <c r="I43" s="211"/>
    </row>
    <row r="44" spans="1:29">
      <c r="A44" s="207" t="s">
        <v>1570</v>
      </c>
      <c r="B44" s="218"/>
      <c r="C44" s="212"/>
      <c r="D44" s="211"/>
      <c r="E44" s="211"/>
      <c r="F44" s="222"/>
      <c r="G44" s="218"/>
      <c r="H44" s="212"/>
      <c r="I44" s="211"/>
    </row>
    <row r="45" spans="1:29">
      <c r="A45" s="207" t="s">
        <v>1571</v>
      </c>
      <c r="B45" s="218"/>
      <c r="C45" s="212"/>
      <c r="D45" s="211"/>
      <c r="E45" s="211"/>
      <c r="F45" s="222"/>
      <c r="G45" s="218"/>
      <c r="H45" s="212"/>
      <c r="I45" s="211"/>
    </row>
    <row r="46" spans="1:29">
      <c r="A46" s="207" t="s">
        <v>1572</v>
      </c>
      <c r="B46" s="218"/>
      <c r="C46" s="212"/>
      <c r="D46" s="211"/>
      <c r="E46" s="211"/>
      <c r="F46" s="222"/>
      <c r="G46" s="218"/>
      <c r="H46" s="212"/>
      <c r="I46" s="211"/>
    </row>
    <row r="47" spans="1:29">
      <c r="A47" s="207" t="s">
        <v>1573</v>
      </c>
      <c r="B47" s="218"/>
      <c r="C47" s="212"/>
      <c r="D47" s="211"/>
      <c r="E47" s="211"/>
      <c r="F47" s="222"/>
      <c r="G47" s="218"/>
      <c r="H47" s="212"/>
      <c r="I47" s="211"/>
    </row>
    <row r="48" spans="1:29">
      <c r="A48" s="207" t="s">
        <v>1574</v>
      </c>
      <c r="B48" s="218"/>
      <c r="C48" s="212"/>
      <c r="D48" s="211"/>
      <c r="E48" s="211"/>
      <c r="F48" s="222"/>
      <c r="G48" s="218"/>
      <c r="H48" s="212"/>
      <c r="I48" s="211"/>
    </row>
    <row r="49" spans="1:9">
      <c r="A49" s="207" t="s">
        <v>1575</v>
      </c>
      <c r="B49" s="218"/>
      <c r="C49" s="212"/>
      <c r="D49" s="211"/>
      <c r="E49" s="211"/>
      <c r="F49" s="222"/>
      <c r="G49" s="218"/>
      <c r="H49" s="212"/>
      <c r="I49" s="211"/>
    </row>
    <row r="50" spans="1:9">
      <c r="A50" s="207" t="s">
        <v>1576</v>
      </c>
      <c r="B50" s="218"/>
      <c r="C50" s="212"/>
      <c r="D50" s="211"/>
      <c r="E50" s="211"/>
      <c r="F50" s="222"/>
      <c r="G50" s="218"/>
      <c r="H50" s="212"/>
      <c r="I50" s="211"/>
    </row>
    <row r="51" spans="1:9">
      <c r="A51" s="207" t="s">
        <v>1577</v>
      </c>
      <c r="B51" s="218"/>
      <c r="C51" s="212"/>
      <c r="D51" s="211"/>
      <c r="E51" s="211"/>
      <c r="F51" s="222"/>
      <c r="G51" s="218"/>
      <c r="H51" s="212"/>
      <c r="I51" s="211"/>
    </row>
    <row r="52" spans="1:9">
      <c r="A52" s="207" t="s">
        <v>1578</v>
      </c>
      <c r="B52" s="218"/>
      <c r="C52" s="212"/>
      <c r="D52" s="211"/>
      <c r="E52" s="211"/>
      <c r="F52" s="222"/>
      <c r="G52" s="218"/>
      <c r="H52" s="212"/>
      <c r="I52" s="211"/>
    </row>
    <row r="53" spans="1:9">
      <c r="A53" s="207" t="s">
        <v>1579</v>
      </c>
      <c r="B53" s="218"/>
      <c r="C53" s="212"/>
      <c r="D53" s="211"/>
      <c r="E53" s="211"/>
      <c r="F53" s="222"/>
      <c r="G53" s="218"/>
      <c r="H53" s="212"/>
      <c r="I53" s="211"/>
    </row>
    <row r="54" spans="1:9">
      <c r="A54" s="207" t="s">
        <v>1580</v>
      </c>
      <c r="B54" s="218"/>
      <c r="C54" s="212"/>
      <c r="D54" s="211"/>
      <c r="E54" s="211"/>
      <c r="F54" s="222"/>
      <c r="G54" s="218"/>
      <c r="H54" s="212"/>
      <c r="I54" s="211"/>
    </row>
    <row r="55" spans="1:9">
      <c r="A55" s="207" t="s">
        <v>1581</v>
      </c>
      <c r="B55" s="218"/>
      <c r="C55" s="212"/>
      <c r="D55" s="211"/>
      <c r="E55" s="211"/>
      <c r="F55" s="222"/>
      <c r="G55" s="218"/>
      <c r="H55" s="212"/>
      <c r="I55" s="211"/>
    </row>
    <row r="56" spans="1:9">
      <c r="A56" s="207" t="s">
        <v>1582</v>
      </c>
      <c r="B56" s="218"/>
      <c r="C56" s="212"/>
      <c r="D56" s="211"/>
      <c r="E56" s="211"/>
      <c r="F56" s="222"/>
      <c r="G56" s="218"/>
      <c r="H56" s="212"/>
      <c r="I56" s="211"/>
    </row>
    <row r="57" spans="1:9">
      <c r="A57" s="207" t="s">
        <v>1583</v>
      </c>
      <c r="B57" s="218"/>
      <c r="C57" s="212"/>
      <c r="D57" s="211"/>
      <c r="E57" s="211"/>
      <c r="F57" s="222"/>
      <c r="G57" s="218"/>
      <c r="H57" s="212"/>
      <c r="I57" s="211"/>
    </row>
    <row r="58" spans="1:9">
      <c r="A58" s="207" t="s">
        <v>1584</v>
      </c>
      <c r="B58" s="218"/>
      <c r="C58" s="212"/>
      <c r="D58" s="211"/>
      <c r="E58" s="211"/>
      <c r="F58" s="222"/>
      <c r="G58" s="218"/>
      <c r="H58" s="212"/>
      <c r="I58" s="211"/>
    </row>
    <row r="59" spans="1:9">
      <c r="A59" s="207" t="s">
        <v>1585</v>
      </c>
      <c r="B59" s="218"/>
      <c r="C59" s="212"/>
      <c r="D59" s="211"/>
      <c r="E59" s="211"/>
      <c r="F59" s="222"/>
      <c r="G59" s="218"/>
      <c r="H59" s="212"/>
      <c r="I59" s="211"/>
    </row>
    <row r="60" spans="1:9">
      <c r="A60" s="207" t="s">
        <v>1586</v>
      </c>
      <c r="B60" s="218"/>
      <c r="C60" s="212"/>
      <c r="D60" s="211"/>
      <c r="E60" s="211"/>
      <c r="F60" s="222"/>
      <c r="G60" s="218"/>
      <c r="H60" s="212"/>
      <c r="I60" s="211"/>
    </row>
    <row r="61" spans="1:9">
      <c r="A61" s="207" t="s">
        <v>1587</v>
      </c>
      <c r="B61" s="218"/>
      <c r="C61" s="212"/>
      <c r="D61" s="211"/>
      <c r="E61" s="211"/>
      <c r="F61" s="222"/>
      <c r="G61" s="218"/>
      <c r="H61" s="212"/>
      <c r="I61" s="211"/>
    </row>
    <row r="62" spans="1:9">
      <c r="A62" s="207" t="s">
        <v>1588</v>
      </c>
      <c r="B62" s="218"/>
      <c r="C62" s="212"/>
      <c r="D62" s="211"/>
      <c r="E62" s="211"/>
      <c r="F62" s="222"/>
      <c r="G62" s="218"/>
      <c r="H62" s="212"/>
      <c r="I62" s="211"/>
    </row>
    <row r="63" spans="1:9">
      <c r="A63" s="207" t="s">
        <v>1589</v>
      </c>
      <c r="B63" s="218"/>
      <c r="C63" s="212"/>
      <c r="D63" s="211"/>
      <c r="E63" s="211"/>
      <c r="F63" s="222"/>
      <c r="G63" s="218"/>
      <c r="H63" s="212"/>
      <c r="I63" s="211"/>
    </row>
    <row r="64" spans="1:9">
      <c r="A64" s="207" t="s">
        <v>1590</v>
      </c>
      <c r="B64" s="218"/>
      <c r="C64" s="212"/>
      <c r="D64" s="211"/>
      <c r="E64" s="211"/>
      <c r="F64" s="222"/>
      <c r="G64" s="218"/>
      <c r="H64" s="212"/>
      <c r="I64" s="211"/>
    </row>
    <row r="65" spans="1:9">
      <c r="A65" s="207" t="s">
        <v>1591</v>
      </c>
      <c r="B65" s="218"/>
      <c r="C65" s="212"/>
      <c r="D65" s="211"/>
      <c r="E65" s="211"/>
      <c r="F65" s="222"/>
      <c r="G65" s="218"/>
      <c r="H65" s="212"/>
      <c r="I65" s="211"/>
    </row>
    <row r="66" spans="1:9">
      <c r="A66" s="207" t="s">
        <v>1592</v>
      </c>
      <c r="B66" s="218"/>
      <c r="C66" s="212"/>
      <c r="D66" s="211"/>
      <c r="E66" s="211"/>
      <c r="F66" s="222"/>
      <c r="G66" s="218"/>
      <c r="H66" s="212"/>
      <c r="I66" s="211"/>
    </row>
    <row r="67" spans="1:9">
      <c r="A67" s="207" t="s">
        <v>1593</v>
      </c>
      <c r="B67" s="218"/>
      <c r="C67" s="212"/>
      <c r="D67" s="211"/>
      <c r="E67" s="211"/>
      <c r="F67" s="222"/>
      <c r="G67" s="218"/>
      <c r="H67" s="212"/>
      <c r="I67" s="211"/>
    </row>
    <row r="68" spans="1:9">
      <c r="A68" s="207" t="s">
        <v>1594</v>
      </c>
      <c r="B68" s="218"/>
      <c r="C68" s="212"/>
      <c r="D68" s="211"/>
      <c r="E68" s="211"/>
      <c r="F68" s="222"/>
      <c r="G68" s="218"/>
      <c r="H68" s="212"/>
      <c r="I68" s="211"/>
    </row>
    <row r="69" spans="1:9">
      <c r="A69" s="207" t="s">
        <v>1595</v>
      </c>
      <c r="B69" s="218"/>
      <c r="C69" s="212"/>
      <c r="D69" s="211"/>
      <c r="E69" s="211"/>
      <c r="F69" s="222"/>
      <c r="G69" s="218"/>
      <c r="H69" s="212"/>
      <c r="I69" s="211"/>
    </row>
    <row r="70" spans="1:9" ht="15.75" thickBot="1">
      <c r="A70" s="208" t="s">
        <v>1596</v>
      </c>
      <c r="B70" s="219"/>
      <c r="C70" s="209"/>
      <c r="D70" s="192"/>
      <c r="E70" s="192"/>
      <c r="F70" s="223"/>
      <c r="G70" s="219"/>
      <c r="H70" s="209"/>
      <c r="I70" s="192"/>
    </row>
  </sheetData>
  <pageMargins left="0.7" right="0.7" top="0.75" bottom="0.75" header="0.3" footer="0.3"/>
  <pageSetup paperSize="9" scale="6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5"/>
  <dimension ref="A2:R53"/>
  <sheetViews>
    <sheetView view="pageBreakPreview" zoomScale="60" zoomScaleNormal="80" workbookViewId="0">
      <selection activeCell="O10" sqref="O10"/>
    </sheetView>
  </sheetViews>
  <sheetFormatPr defaultColWidth="8.85546875" defaultRowHeight="15"/>
  <cols>
    <col min="1" max="1" width="7.85546875" style="57" customWidth="1"/>
    <col min="2" max="2" width="12.7109375" style="57" customWidth="1"/>
    <col min="3" max="3" width="14" style="57" customWidth="1"/>
    <col min="4" max="4" width="9.42578125" style="57" customWidth="1"/>
    <col min="5" max="5" width="11.85546875" style="57" customWidth="1"/>
    <col min="6" max="6" width="11.7109375" style="57" customWidth="1"/>
    <col min="7" max="7" width="9.7109375" customWidth="1"/>
    <col min="8" max="8" width="11.42578125" customWidth="1"/>
    <col min="9" max="9" width="10.855468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172" t="s">
        <v>177</v>
      </c>
      <c r="B2" s="173">
        <f>'CBA - Agendové IS'!J17</f>
        <v>0</v>
      </c>
    </row>
    <row r="5" spans="1:18" ht="30" customHeight="1">
      <c r="B5" s="867" t="s">
        <v>1598</v>
      </c>
      <c r="C5" s="868"/>
      <c r="D5" s="180"/>
      <c r="E5" s="867" t="s">
        <v>1599</v>
      </c>
      <c r="F5" s="868"/>
      <c r="H5" s="865" t="s">
        <v>1600</v>
      </c>
      <c r="I5" s="866"/>
      <c r="J5" s="57"/>
      <c r="K5" s="867" t="s">
        <v>1601</v>
      </c>
      <c r="L5" s="868"/>
      <c r="N5" s="865" t="s">
        <v>1602</v>
      </c>
      <c r="O5" s="866"/>
      <c r="Q5" s="865" t="s">
        <v>1603</v>
      </c>
      <c r="R5" s="866"/>
    </row>
    <row r="6" spans="1:18">
      <c r="B6" s="175" t="s">
        <v>1537</v>
      </c>
      <c r="C6" s="174" t="s">
        <v>177</v>
      </c>
      <c r="D6" s="181"/>
      <c r="E6" s="175" t="s">
        <v>1537</v>
      </c>
      <c r="F6" s="174" t="s">
        <v>177</v>
      </c>
      <c r="H6" s="175" t="s">
        <v>1537</v>
      </c>
      <c r="I6" s="174" t="s">
        <v>177</v>
      </c>
      <c r="J6" s="57"/>
      <c r="K6" s="175" t="s">
        <v>1537</v>
      </c>
      <c r="L6" s="174" t="s">
        <v>177</v>
      </c>
      <c r="N6" s="176" t="s">
        <v>1537</v>
      </c>
      <c r="O6" s="177" t="s">
        <v>177</v>
      </c>
      <c r="Q6" s="176" t="s">
        <v>1537</v>
      </c>
      <c r="R6" s="177" t="s">
        <v>177</v>
      </c>
    </row>
    <row r="7" spans="1:18" ht="15" customHeight="1">
      <c r="B7" s="168">
        <v>0</v>
      </c>
      <c r="C7" s="160">
        <f>B2</f>
        <v>0</v>
      </c>
      <c r="D7" s="178"/>
      <c r="E7" s="168">
        <v>0</v>
      </c>
      <c r="F7" s="160">
        <f>B2</f>
        <v>0</v>
      </c>
      <c r="H7" s="168">
        <v>0</v>
      </c>
      <c r="I7" s="160">
        <f>B2</f>
        <v>0</v>
      </c>
      <c r="J7" s="57"/>
      <c r="K7" s="168">
        <v>0</v>
      </c>
      <c r="L7" s="160">
        <f>B2</f>
        <v>0</v>
      </c>
      <c r="N7" s="170">
        <v>0</v>
      </c>
      <c r="O7" s="162">
        <f>B2</f>
        <v>0</v>
      </c>
      <c r="Q7" s="170">
        <v>0</v>
      </c>
      <c r="R7" s="162">
        <f>B2</f>
        <v>0</v>
      </c>
    </row>
    <row r="8" spans="1:18">
      <c r="B8" s="168">
        <v>0.1</v>
      </c>
      <c r="C8" s="164">
        <f t="dataTable" ref="C8:C17" dt2D="0" dtr="0" r1="B7"/>
        <v>0</v>
      </c>
      <c r="D8" s="179"/>
      <c r="E8" s="168">
        <v>0.1</v>
      </c>
      <c r="F8" s="164">
        <f t="dataTable" ref="F8:F17" dt2D="0" dtr="0" r1="E7" ca="1"/>
        <v>0</v>
      </c>
      <c r="H8" s="168">
        <v>-0.1</v>
      </c>
      <c r="I8" s="164">
        <f t="dataTable" ref="I8:I17" dt2D="0" dtr="0" r1="H7" ca="1"/>
        <v>0</v>
      </c>
      <c r="J8" s="57"/>
      <c r="K8" s="168">
        <v>-0.1</v>
      </c>
      <c r="L8" s="164">
        <f t="dataTable" ref="L8:L17" dt2D="0" dtr="0" r1="K7" ca="1"/>
        <v>0</v>
      </c>
      <c r="N8" s="170">
        <v>-0.1</v>
      </c>
      <c r="O8" s="166">
        <f t="dataTable" ref="O8:O17" dt2D="0" dtr="0" r1="N7" ca="1"/>
        <v>0</v>
      </c>
      <c r="Q8" s="170">
        <v>-0.1</v>
      </c>
      <c r="R8" s="166">
        <f t="dataTable" ref="R8:R17" dt2D="0" dtr="0" r1="Q7" ca="1"/>
        <v>0</v>
      </c>
    </row>
    <row r="9" spans="1:18">
      <c r="A9" s="163"/>
      <c r="B9" s="168">
        <v>0.2</v>
      </c>
      <c r="C9" s="164">
        <v>0</v>
      </c>
      <c r="D9" s="179"/>
      <c r="E9" s="168">
        <v>0.2</v>
      </c>
      <c r="F9" s="164">
        <v>0</v>
      </c>
      <c r="H9" s="168">
        <v>-0.2</v>
      </c>
      <c r="I9" s="164">
        <v>0</v>
      </c>
      <c r="J9" s="57"/>
      <c r="K9" s="168">
        <v>-0.2</v>
      </c>
      <c r="L9" s="164">
        <v>0</v>
      </c>
      <c r="N9" s="170">
        <v>-0.2</v>
      </c>
      <c r="O9" s="166">
        <v>0</v>
      </c>
      <c r="Q9" s="170">
        <v>-0.2</v>
      </c>
      <c r="R9" s="166">
        <v>0</v>
      </c>
    </row>
    <row r="10" spans="1:18">
      <c r="A10" s="163"/>
      <c r="B10" s="168">
        <v>0.3</v>
      </c>
      <c r="C10" s="164">
        <v>0</v>
      </c>
      <c r="D10" s="179"/>
      <c r="E10" s="168">
        <v>0.3</v>
      </c>
      <c r="F10" s="164">
        <v>0</v>
      </c>
      <c r="H10" s="168">
        <v>-0.3</v>
      </c>
      <c r="I10" s="164">
        <v>0</v>
      </c>
      <c r="J10" s="57"/>
      <c r="K10" s="168">
        <v>-0.3</v>
      </c>
      <c r="L10" s="164">
        <v>0</v>
      </c>
      <c r="N10" s="170">
        <v>-0.3</v>
      </c>
      <c r="O10" s="166">
        <v>0</v>
      </c>
      <c r="Q10" s="170">
        <v>-0.3</v>
      </c>
      <c r="R10" s="166">
        <v>0</v>
      </c>
    </row>
    <row r="11" spans="1:18">
      <c r="A11" s="163"/>
      <c r="B11" s="168">
        <v>0.4</v>
      </c>
      <c r="C11" s="164">
        <v>0</v>
      </c>
      <c r="D11" s="179"/>
      <c r="E11" s="168">
        <v>0.4</v>
      </c>
      <c r="F11" s="164">
        <v>0</v>
      </c>
      <c r="H11" s="168">
        <v>-0.4</v>
      </c>
      <c r="I11" s="164">
        <v>0</v>
      </c>
      <c r="J11" s="57"/>
      <c r="K11" s="168">
        <v>-0.4</v>
      </c>
      <c r="L11" s="164">
        <v>0</v>
      </c>
      <c r="N11" s="170">
        <v>-0.4</v>
      </c>
      <c r="O11" s="166">
        <v>0</v>
      </c>
      <c r="Q11" s="170">
        <v>-0.4</v>
      </c>
      <c r="R11" s="166">
        <v>0</v>
      </c>
    </row>
    <row r="12" spans="1:18">
      <c r="A12" s="163"/>
      <c r="B12" s="168">
        <v>0.5</v>
      </c>
      <c r="C12" s="164">
        <v>0</v>
      </c>
      <c r="D12" s="179"/>
      <c r="E12" s="168">
        <v>0.5</v>
      </c>
      <c r="F12" s="164">
        <v>0</v>
      </c>
      <c r="H12" s="168">
        <v>-0.5</v>
      </c>
      <c r="I12" s="164">
        <v>0</v>
      </c>
      <c r="J12" s="57"/>
      <c r="K12" s="168">
        <v>-0.5</v>
      </c>
      <c r="L12" s="164">
        <v>0</v>
      </c>
      <c r="N12" s="170">
        <v>-0.5</v>
      </c>
      <c r="O12" s="166">
        <v>0</v>
      </c>
      <c r="Q12" s="170">
        <v>-0.5</v>
      </c>
      <c r="R12" s="166">
        <v>0</v>
      </c>
    </row>
    <row r="13" spans="1:18">
      <c r="A13" s="163"/>
      <c r="B13" s="168">
        <v>0.6</v>
      </c>
      <c r="C13" s="164">
        <v>0</v>
      </c>
      <c r="D13" s="179"/>
      <c r="E13" s="168">
        <v>0.6</v>
      </c>
      <c r="F13" s="164">
        <v>0</v>
      </c>
      <c r="H13" s="168">
        <v>-0.6</v>
      </c>
      <c r="I13" s="164">
        <v>0</v>
      </c>
      <c r="J13" s="57"/>
      <c r="K13" s="168">
        <v>-0.6</v>
      </c>
      <c r="L13" s="164">
        <v>0</v>
      </c>
      <c r="N13" s="170">
        <v>-0.6</v>
      </c>
      <c r="O13" s="166">
        <v>0</v>
      </c>
      <c r="Q13" s="170">
        <v>-0.6</v>
      </c>
      <c r="R13" s="166">
        <v>0</v>
      </c>
    </row>
    <row r="14" spans="1:18">
      <c r="A14" s="159"/>
      <c r="B14" s="168">
        <v>0.7</v>
      </c>
      <c r="C14" s="164">
        <v>0</v>
      </c>
      <c r="D14" s="179"/>
      <c r="E14" s="168">
        <v>0.7</v>
      </c>
      <c r="F14" s="164">
        <v>0</v>
      </c>
      <c r="H14" s="168">
        <v>-0.7</v>
      </c>
      <c r="I14" s="164">
        <v>0</v>
      </c>
      <c r="J14" s="57"/>
      <c r="K14" s="168">
        <v>-0.7</v>
      </c>
      <c r="L14" s="164">
        <v>0</v>
      </c>
      <c r="N14" s="170">
        <v>-0.7</v>
      </c>
      <c r="O14" s="166">
        <v>0</v>
      </c>
      <c r="Q14" s="170">
        <v>-0.7</v>
      </c>
      <c r="R14" s="166">
        <v>0</v>
      </c>
    </row>
    <row r="15" spans="1:18">
      <c r="A15" s="159"/>
      <c r="B15" s="168">
        <v>0.8</v>
      </c>
      <c r="C15" s="164">
        <v>0</v>
      </c>
      <c r="D15" s="179"/>
      <c r="E15" s="168">
        <v>0.8</v>
      </c>
      <c r="F15" s="164">
        <v>0</v>
      </c>
      <c r="H15" s="168">
        <v>-0.8</v>
      </c>
      <c r="I15" s="164">
        <v>0</v>
      </c>
      <c r="J15" s="57"/>
      <c r="K15" s="168">
        <v>-0.8</v>
      </c>
      <c r="L15" s="164">
        <v>0</v>
      </c>
      <c r="N15" s="170">
        <v>-0.8</v>
      </c>
      <c r="O15" s="166">
        <v>0</v>
      </c>
      <c r="Q15" s="170">
        <v>-0.8</v>
      </c>
      <c r="R15" s="166">
        <v>0</v>
      </c>
    </row>
    <row r="16" spans="1:18">
      <c r="A16" s="159"/>
      <c r="B16" s="168">
        <v>0.9</v>
      </c>
      <c r="C16" s="164">
        <v>0</v>
      </c>
      <c r="D16" s="179"/>
      <c r="E16" s="168">
        <v>0.9</v>
      </c>
      <c r="F16" s="164">
        <v>0</v>
      </c>
      <c r="H16" s="168">
        <v>-0.9</v>
      </c>
      <c r="I16" s="164">
        <v>0</v>
      </c>
      <c r="J16" s="57"/>
      <c r="K16" s="168">
        <v>-0.9</v>
      </c>
      <c r="L16" s="164">
        <v>0</v>
      </c>
      <c r="N16" s="170">
        <v>-0.9</v>
      </c>
      <c r="O16" s="166">
        <v>0</v>
      </c>
      <c r="Q16" s="170">
        <v>-0.9</v>
      </c>
      <c r="R16" s="166">
        <v>0</v>
      </c>
    </row>
    <row r="17" spans="1:18">
      <c r="A17" s="159"/>
      <c r="B17" s="169">
        <v>1</v>
      </c>
      <c r="C17" s="165">
        <v>0</v>
      </c>
      <c r="D17" s="179"/>
      <c r="E17" s="169">
        <v>1</v>
      </c>
      <c r="F17" s="165">
        <v>0</v>
      </c>
      <c r="H17" s="169">
        <v>-1</v>
      </c>
      <c r="I17" s="165">
        <v>0</v>
      </c>
      <c r="J17" s="57"/>
      <c r="K17" s="169">
        <v>-1</v>
      </c>
      <c r="L17" s="165">
        <v>0</v>
      </c>
      <c r="N17" s="171">
        <v>-1</v>
      </c>
      <c r="O17" s="167">
        <v>0</v>
      </c>
      <c r="Q17" s="171">
        <v>-1</v>
      </c>
      <c r="R17" s="167">
        <v>0</v>
      </c>
    </row>
    <row r="18" spans="1:18">
      <c r="A18" s="163"/>
      <c r="N18" s="96"/>
    </row>
    <row r="19" spans="1:18">
      <c r="A19" s="163"/>
    </row>
    <row r="25" spans="1:18" ht="18.75" customHeight="1">
      <c r="D25" s="859" t="s">
        <v>1603</v>
      </c>
      <c r="E25" s="860"/>
      <c r="F25" s="860"/>
      <c r="G25" s="860"/>
      <c r="H25" s="860"/>
      <c r="I25" s="860"/>
      <c r="J25" s="860"/>
      <c r="K25" s="860"/>
      <c r="L25" s="860"/>
      <c r="M25" s="860"/>
      <c r="N25" s="861"/>
    </row>
    <row r="26" spans="1:18">
      <c r="C26" s="182">
        <f>B2</f>
        <v>0</v>
      </c>
      <c r="D26" s="188">
        <v>0</v>
      </c>
      <c r="E26" s="185">
        <v>-0.1</v>
      </c>
      <c r="F26" s="185">
        <v>-0.2</v>
      </c>
      <c r="G26" s="185">
        <v>-0.3</v>
      </c>
      <c r="H26" s="185">
        <v>-0.4</v>
      </c>
      <c r="I26" s="185">
        <v>-0.5</v>
      </c>
      <c r="J26" s="185">
        <v>-0.6</v>
      </c>
      <c r="K26" s="185">
        <v>-0.7</v>
      </c>
      <c r="L26" s="185">
        <v>-0.8</v>
      </c>
      <c r="M26" s="185">
        <v>-0.9</v>
      </c>
      <c r="N26" s="189">
        <v>-1</v>
      </c>
    </row>
    <row r="27" spans="1:18" ht="14.25" customHeight="1">
      <c r="B27" s="862" t="s">
        <v>1602</v>
      </c>
      <c r="C27" s="190">
        <v>0</v>
      </c>
      <c r="D27" s="179">
        <f t="dataTable" ref="D27:N37" dt2D="1" dtr="1" r1="Q7" r2="N7" ca="1"/>
        <v>0</v>
      </c>
      <c r="E27" s="179">
        <v>0</v>
      </c>
      <c r="F27" s="179">
        <v>0</v>
      </c>
      <c r="G27" s="184">
        <v>0</v>
      </c>
      <c r="H27" s="184">
        <v>0</v>
      </c>
      <c r="I27" s="184">
        <v>0</v>
      </c>
      <c r="J27" s="184">
        <v>0</v>
      </c>
      <c r="K27" s="184">
        <v>0</v>
      </c>
      <c r="L27" s="184">
        <v>0</v>
      </c>
      <c r="M27" s="184">
        <v>0</v>
      </c>
      <c r="N27" s="166">
        <v>0</v>
      </c>
    </row>
    <row r="28" spans="1:18">
      <c r="B28" s="863"/>
      <c r="C28" s="183">
        <v>-0.1</v>
      </c>
      <c r="D28" s="179">
        <v>0</v>
      </c>
      <c r="E28" s="179">
        <v>0</v>
      </c>
      <c r="F28" s="179">
        <v>0</v>
      </c>
      <c r="G28" s="184">
        <v>0</v>
      </c>
      <c r="H28" s="184">
        <v>0</v>
      </c>
      <c r="I28" s="184">
        <v>0</v>
      </c>
      <c r="J28" s="184">
        <v>0</v>
      </c>
      <c r="K28" s="184">
        <v>0</v>
      </c>
      <c r="L28" s="184">
        <v>0</v>
      </c>
      <c r="M28" s="184">
        <v>0</v>
      </c>
      <c r="N28" s="166">
        <v>0</v>
      </c>
    </row>
    <row r="29" spans="1:18">
      <c r="B29" s="863"/>
      <c r="C29" s="183">
        <v>-0.2</v>
      </c>
      <c r="D29" s="179">
        <v>0</v>
      </c>
      <c r="E29" s="179">
        <v>0</v>
      </c>
      <c r="F29" s="179">
        <v>0</v>
      </c>
      <c r="G29" s="184">
        <v>0</v>
      </c>
      <c r="H29" s="184">
        <v>0</v>
      </c>
      <c r="I29" s="184">
        <v>0</v>
      </c>
      <c r="J29" s="184">
        <v>0</v>
      </c>
      <c r="K29" s="184">
        <v>0</v>
      </c>
      <c r="L29" s="184">
        <v>0</v>
      </c>
      <c r="M29" s="184">
        <v>0</v>
      </c>
      <c r="N29" s="166">
        <v>0</v>
      </c>
    </row>
    <row r="30" spans="1:18">
      <c r="B30" s="863"/>
      <c r="C30" s="183">
        <v>-0.3</v>
      </c>
      <c r="D30" s="179">
        <v>0</v>
      </c>
      <c r="E30" s="179">
        <v>0</v>
      </c>
      <c r="F30" s="179">
        <v>0</v>
      </c>
      <c r="G30" s="184">
        <v>0</v>
      </c>
      <c r="H30" s="184">
        <v>0</v>
      </c>
      <c r="I30" s="184">
        <v>0</v>
      </c>
      <c r="J30" s="184">
        <v>0</v>
      </c>
      <c r="K30" s="184">
        <v>0</v>
      </c>
      <c r="L30" s="184">
        <v>0</v>
      </c>
      <c r="M30" s="184">
        <v>0</v>
      </c>
      <c r="N30" s="166">
        <v>0</v>
      </c>
    </row>
    <row r="31" spans="1:18">
      <c r="B31" s="863"/>
      <c r="C31" s="183">
        <v>-0.4</v>
      </c>
      <c r="D31" s="179">
        <v>0</v>
      </c>
      <c r="E31" s="179">
        <v>0</v>
      </c>
      <c r="F31" s="179">
        <v>0</v>
      </c>
      <c r="G31" s="184">
        <v>0</v>
      </c>
      <c r="H31" s="184">
        <v>0</v>
      </c>
      <c r="I31" s="184">
        <v>0</v>
      </c>
      <c r="J31" s="184">
        <v>0</v>
      </c>
      <c r="K31" s="184">
        <v>0</v>
      </c>
      <c r="L31" s="184">
        <v>0</v>
      </c>
      <c r="M31" s="184">
        <v>0</v>
      </c>
      <c r="N31" s="166">
        <v>0</v>
      </c>
    </row>
    <row r="32" spans="1:18">
      <c r="B32" s="863"/>
      <c r="C32" s="183">
        <v>-0.5</v>
      </c>
      <c r="D32" s="179">
        <v>0</v>
      </c>
      <c r="E32" s="179">
        <v>0</v>
      </c>
      <c r="F32" s="179">
        <v>0</v>
      </c>
      <c r="G32" s="184">
        <v>0</v>
      </c>
      <c r="H32" s="184">
        <v>0</v>
      </c>
      <c r="I32" s="184">
        <v>0</v>
      </c>
      <c r="J32" s="184">
        <v>0</v>
      </c>
      <c r="K32" s="184">
        <v>0</v>
      </c>
      <c r="L32" s="184">
        <v>0</v>
      </c>
      <c r="M32" s="184">
        <v>0</v>
      </c>
      <c r="N32" s="166">
        <v>0</v>
      </c>
    </row>
    <row r="33" spans="2:14">
      <c r="B33" s="863"/>
      <c r="C33" s="183">
        <v>-0.6</v>
      </c>
      <c r="D33" s="179">
        <v>0</v>
      </c>
      <c r="E33" s="179">
        <v>0</v>
      </c>
      <c r="F33" s="179">
        <v>0</v>
      </c>
      <c r="G33" s="184">
        <v>0</v>
      </c>
      <c r="H33" s="184">
        <v>0</v>
      </c>
      <c r="I33" s="184">
        <v>0</v>
      </c>
      <c r="J33" s="184">
        <v>0</v>
      </c>
      <c r="K33" s="184">
        <v>0</v>
      </c>
      <c r="L33" s="184">
        <v>0</v>
      </c>
      <c r="M33" s="184">
        <v>0</v>
      </c>
      <c r="N33" s="166">
        <v>0</v>
      </c>
    </row>
    <row r="34" spans="2:14">
      <c r="B34" s="863"/>
      <c r="C34" s="183">
        <v>-0.7</v>
      </c>
      <c r="D34" s="179">
        <v>0</v>
      </c>
      <c r="E34" s="179">
        <v>0</v>
      </c>
      <c r="F34" s="179">
        <v>0</v>
      </c>
      <c r="G34" s="184">
        <v>0</v>
      </c>
      <c r="H34" s="184">
        <v>0</v>
      </c>
      <c r="I34" s="184">
        <v>0</v>
      </c>
      <c r="J34" s="184">
        <v>0</v>
      </c>
      <c r="K34" s="184">
        <v>0</v>
      </c>
      <c r="L34" s="184">
        <v>0</v>
      </c>
      <c r="M34" s="184">
        <v>0</v>
      </c>
      <c r="N34" s="166">
        <v>0</v>
      </c>
    </row>
    <row r="35" spans="2:14">
      <c r="B35" s="863"/>
      <c r="C35" s="183">
        <v>-0.8</v>
      </c>
      <c r="D35" s="179">
        <v>0</v>
      </c>
      <c r="E35" s="179">
        <v>0</v>
      </c>
      <c r="F35" s="179">
        <v>0</v>
      </c>
      <c r="G35" s="184">
        <v>0</v>
      </c>
      <c r="H35" s="184">
        <v>0</v>
      </c>
      <c r="I35" s="184">
        <v>0</v>
      </c>
      <c r="J35" s="184">
        <v>0</v>
      </c>
      <c r="K35" s="184">
        <v>0</v>
      </c>
      <c r="L35" s="184">
        <v>0</v>
      </c>
      <c r="M35" s="184">
        <v>0</v>
      </c>
      <c r="N35" s="166">
        <v>0</v>
      </c>
    </row>
    <row r="36" spans="2:14">
      <c r="B36" s="863"/>
      <c r="C36" s="183">
        <v>-0.9</v>
      </c>
      <c r="D36" s="179">
        <v>0</v>
      </c>
      <c r="E36" s="179">
        <v>0</v>
      </c>
      <c r="F36" s="179">
        <v>0</v>
      </c>
      <c r="G36" s="184">
        <v>0</v>
      </c>
      <c r="H36" s="184">
        <v>0</v>
      </c>
      <c r="I36" s="184">
        <v>0</v>
      </c>
      <c r="J36" s="184">
        <v>0</v>
      </c>
      <c r="K36" s="184">
        <v>0</v>
      </c>
      <c r="L36" s="184">
        <v>0</v>
      </c>
      <c r="M36" s="184">
        <v>0</v>
      </c>
      <c r="N36" s="166">
        <v>0</v>
      </c>
    </row>
    <row r="37" spans="2:14">
      <c r="B37" s="864"/>
      <c r="C37" s="189">
        <v>-1</v>
      </c>
      <c r="D37" s="186">
        <v>0</v>
      </c>
      <c r="E37" s="186">
        <v>0</v>
      </c>
      <c r="F37" s="186">
        <v>0</v>
      </c>
      <c r="G37" s="187">
        <v>0</v>
      </c>
      <c r="H37" s="187">
        <v>0</v>
      </c>
      <c r="I37" s="187">
        <v>0</v>
      </c>
      <c r="J37" s="187">
        <v>0</v>
      </c>
      <c r="K37" s="187">
        <v>0</v>
      </c>
      <c r="L37" s="187">
        <v>0</v>
      </c>
      <c r="M37" s="187">
        <v>0</v>
      </c>
      <c r="N37" s="167">
        <v>0</v>
      </c>
    </row>
    <row r="41" spans="2:14">
      <c r="D41" s="859" t="s">
        <v>1601</v>
      </c>
      <c r="E41" s="860"/>
      <c r="F41" s="860"/>
      <c r="G41" s="860"/>
      <c r="H41" s="860"/>
      <c r="I41" s="860"/>
      <c r="J41" s="860"/>
      <c r="K41" s="860"/>
      <c r="L41" s="860"/>
      <c r="M41" s="860"/>
      <c r="N41" s="861"/>
    </row>
    <row r="42" spans="2:14">
      <c r="C42" s="182">
        <f>B2</f>
        <v>0</v>
      </c>
      <c r="D42" s="188">
        <v>0</v>
      </c>
      <c r="E42" s="185">
        <v>-0.1</v>
      </c>
      <c r="F42" s="185">
        <v>-0.2</v>
      </c>
      <c r="G42" s="185">
        <v>-0.3</v>
      </c>
      <c r="H42" s="185">
        <v>-0.4</v>
      </c>
      <c r="I42" s="185">
        <v>-0.5</v>
      </c>
      <c r="J42" s="185">
        <v>-0.6</v>
      </c>
      <c r="K42" s="185">
        <v>-0.7</v>
      </c>
      <c r="L42" s="185">
        <v>-0.8</v>
      </c>
      <c r="M42" s="185">
        <v>-0.9</v>
      </c>
      <c r="N42" s="189">
        <v>-1</v>
      </c>
    </row>
    <row r="43" spans="2:14">
      <c r="B43" s="862" t="s">
        <v>1599</v>
      </c>
      <c r="C43" s="190">
        <v>0</v>
      </c>
      <c r="D43" s="179">
        <f t="dataTable" ref="D43:N53" dt2D="1" dtr="1" r1="K7" r2="E7" ca="1"/>
        <v>0</v>
      </c>
      <c r="E43" s="179">
        <v>0</v>
      </c>
      <c r="F43" s="179">
        <v>0</v>
      </c>
      <c r="G43" s="184">
        <v>0</v>
      </c>
      <c r="H43" s="184">
        <v>0</v>
      </c>
      <c r="I43" s="184">
        <v>0</v>
      </c>
      <c r="J43" s="184">
        <v>0</v>
      </c>
      <c r="K43" s="184">
        <v>0</v>
      </c>
      <c r="L43" s="184">
        <v>0</v>
      </c>
      <c r="M43" s="184">
        <v>0</v>
      </c>
      <c r="N43" s="166">
        <v>0</v>
      </c>
    </row>
    <row r="44" spans="2:14">
      <c r="B44" s="863"/>
      <c r="C44" s="183">
        <v>0.1</v>
      </c>
      <c r="D44" s="179">
        <v>0</v>
      </c>
      <c r="E44" s="179">
        <v>0</v>
      </c>
      <c r="F44" s="179">
        <v>0</v>
      </c>
      <c r="G44" s="184">
        <v>0</v>
      </c>
      <c r="H44" s="184">
        <v>0</v>
      </c>
      <c r="I44" s="184">
        <v>0</v>
      </c>
      <c r="J44" s="184">
        <v>0</v>
      </c>
      <c r="K44" s="184">
        <v>0</v>
      </c>
      <c r="L44" s="184">
        <v>0</v>
      </c>
      <c r="M44" s="184">
        <v>0</v>
      </c>
      <c r="N44" s="166">
        <v>0</v>
      </c>
    </row>
    <row r="45" spans="2:14">
      <c r="B45" s="863"/>
      <c r="C45" s="183">
        <v>0.2</v>
      </c>
      <c r="D45" s="179">
        <v>0</v>
      </c>
      <c r="E45" s="179">
        <v>0</v>
      </c>
      <c r="F45" s="179">
        <v>0</v>
      </c>
      <c r="G45" s="184">
        <v>0</v>
      </c>
      <c r="H45" s="184">
        <v>0</v>
      </c>
      <c r="I45" s="184">
        <v>0</v>
      </c>
      <c r="J45" s="184">
        <v>0</v>
      </c>
      <c r="K45" s="184">
        <v>0</v>
      </c>
      <c r="L45" s="184">
        <v>0</v>
      </c>
      <c r="M45" s="184">
        <v>0</v>
      </c>
      <c r="N45" s="166">
        <v>0</v>
      </c>
    </row>
    <row r="46" spans="2:14">
      <c r="B46" s="863"/>
      <c r="C46" s="183">
        <v>0.3</v>
      </c>
      <c r="D46" s="179">
        <v>0</v>
      </c>
      <c r="E46" s="179">
        <v>0</v>
      </c>
      <c r="F46" s="179">
        <v>0</v>
      </c>
      <c r="G46" s="184">
        <v>0</v>
      </c>
      <c r="H46" s="184">
        <v>0</v>
      </c>
      <c r="I46" s="184">
        <v>0</v>
      </c>
      <c r="J46" s="184">
        <v>0</v>
      </c>
      <c r="K46" s="184">
        <v>0</v>
      </c>
      <c r="L46" s="184">
        <v>0</v>
      </c>
      <c r="M46" s="184">
        <v>0</v>
      </c>
      <c r="N46" s="166">
        <v>0</v>
      </c>
    </row>
    <row r="47" spans="2:14">
      <c r="B47" s="863"/>
      <c r="C47" s="183">
        <v>0.4</v>
      </c>
      <c r="D47" s="179">
        <v>0</v>
      </c>
      <c r="E47" s="179">
        <v>0</v>
      </c>
      <c r="F47" s="179">
        <v>0</v>
      </c>
      <c r="G47" s="184">
        <v>0</v>
      </c>
      <c r="H47" s="184">
        <v>0</v>
      </c>
      <c r="I47" s="184">
        <v>0</v>
      </c>
      <c r="J47" s="184">
        <v>0</v>
      </c>
      <c r="K47" s="184">
        <v>0</v>
      </c>
      <c r="L47" s="184">
        <v>0</v>
      </c>
      <c r="M47" s="184">
        <v>0</v>
      </c>
      <c r="N47" s="166">
        <v>0</v>
      </c>
    </row>
    <row r="48" spans="2:14">
      <c r="B48" s="863"/>
      <c r="C48" s="183">
        <v>0.5</v>
      </c>
      <c r="D48" s="179">
        <v>0</v>
      </c>
      <c r="E48" s="179">
        <v>0</v>
      </c>
      <c r="F48" s="179">
        <v>0</v>
      </c>
      <c r="G48" s="184">
        <v>0</v>
      </c>
      <c r="H48" s="184">
        <v>0</v>
      </c>
      <c r="I48" s="184">
        <v>0</v>
      </c>
      <c r="J48" s="184">
        <v>0</v>
      </c>
      <c r="K48" s="184">
        <v>0</v>
      </c>
      <c r="L48" s="184">
        <v>0</v>
      </c>
      <c r="M48" s="184">
        <v>0</v>
      </c>
      <c r="N48" s="166">
        <v>0</v>
      </c>
    </row>
    <row r="49" spans="2:14">
      <c r="B49" s="863"/>
      <c r="C49" s="183">
        <v>0.6</v>
      </c>
      <c r="D49" s="179">
        <v>0</v>
      </c>
      <c r="E49" s="179">
        <v>0</v>
      </c>
      <c r="F49" s="179">
        <v>0</v>
      </c>
      <c r="G49" s="184">
        <v>0</v>
      </c>
      <c r="H49" s="184">
        <v>0</v>
      </c>
      <c r="I49" s="184">
        <v>0</v>
      </c>
      <c r="J49" s="184">
        <v>0</v>
      </c>
      <c r="K49" s="184">
        <v>0</v>
      </c>
      <c r="L49" s="184">
        <v>0</v>
      </c>
      <c r="M49" s="184">
        <v>0</v>
      </c>
      <c r="N49" s="166">
        <v>0</v>
      </c>
    </row>
    <row r="50" spans="2:14">
      <c r="B50" s="863"/>
      <c r="C50" s="183">
        <v>0.7</v>
      </c>
      <c r="D50" s="179">
        <v>0</v>
      </c>
      <c r="E50" s="179">
        <v>0</v>
      </c>
      <c r="F50" s="179">
        <v>0</v>
      </c>
      <c r="G50" s="184">
        <v>0</v>
      </c>
      <c r="H50" s="184">
        <v>0</v>
      </c>
      <c r="I50" s="184">
        <v>0</v>
      </c>
      <c r="J50" s="184">
        <v>0</v>
      </c>
      <c r="K50" s="184">
        <v>0</v>
      </c>
      <c r="L50" s="184">
        <v>0</v>
      </c>
      <c r="M50" s="184">
        <v>0</v>
      </c>
      <c r="N50" s="166">
        <v>0</v>
      </c>
    </row>
    <row r="51" spans="2:14">
      <c r="B51" s="863"/>
      <c r="C51" s="183">
        <v>0.8</v>
      </c>
      <c r="D51" s="179">
        <v>0</v>
      </c>
      <c r="E51" s="179">
        <v>0</v>
      </c>
      <c r="F51" s="179">
        <v>0</v>
      </c>
      <c r="G51" s="184">
        <v>0</v>
      </c>
      <c r="H51" s="184">
        <v>0</v>
      </c>
      <c r="I51" s="184">
        <v>0</v>
      </c>
      <c r="J51" s="184">
        <v>0</v>
      </c>
      <c r="K51" s="184">
        <v>0</v>
      </c>
      <c r="L51" s="184">
        <v>0</v>
      </c>
      <c r="M51" s="184">
        <v>0</v>
      </c>
      <c r="N51" s="166">
        <v>0</v>
      </c>
    </row>
    <row r="52" spans="2:14">
      <c r="B52" s="863"/>
      <c r="C52" s="183">
        <v>0.9</v>
      </c>
      <c r="D52" s="179">
        <v>0</v>
      </c>
      <c r="E52" s="179">
        <v>0</v>
      </c>
      <c r="F52" s="179">
        <v>0</v>
      </c>
      <c r="G52" s="184">
        <v>0</v>
      </c>
      <c r="H52" s="184">
        <v>0</v>
      </c>
      <c r="I52" s="184">
        <v>0</v>
      </c>
      <c r="J52" s="184">
        <v>0</v>
      </c>
      <c r="K52" s="184">
        <v>0</v>
      </c>
      <c r="L52" s="184">
        <v>0</v>
      </c>
      <c r="M52" s="184">
        <v>0</v>
      </c>
      <c r="N52" s="166">
        <v>0</v>
      </c>
    </row>
    <row r="53" spans="2:14">
      <c r="B53" s="864"/>
      <c r="C53" s="189">
        <v>1</v>
      </c>
      <c r="D53" s="186">
        <v>0</v>
      </c>
      <c r="E53" s="186">
        <v>0</v>
      </c>
      <c r="F53" s="186">
        <v>0</v>
      </c>
      <c r="G53" s="187">
        <v>0</v>
      </c>
      <c r="H53" s="187">
        <v>0</v>
      </c>
      <c r="I53" s="187">
        <v>0</v>
      </c>
      <c r="J53" s="187">
        <v>0</v>
      </c>
      <c r="K53" s="187">
        <v>0</v>
      </c>
      <c r="L53" s="187">
        <v>0</v>
      </c>
      <c r="M53" s="187">
        <v>0</v>
      </c>
      <c r="N53" s="167">
        <v>0</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5546875" defaultRowHeight="15"/>
  <cols>
    <col min="1" max="1" width="26" customWidth="1"/>
    <col min="2" max="2" width="11.42578125" customWidth="1"/>
    <col min="4" max="4" width="20.85546875" customWidth="1"/>
    <col min="6" max="8" width="12.42578125" bestFit="1" customWidth="1"/>
    <col min="9" max="9" width="13.140625" bestFit="1" customWidth="1"/>
  </cols>
  <sheetData>
    <row r="1" spans="1:9" ht="15.75" thickBot="1"/>
    <row r="2" spans="1:9">
      <c r="A2" s="873" t="str">
        <f>'Parametre - Agendové IS'!G2</f>
        <v>Adaptér core banking služieb</v>
      </c>
      <c r="B2" s="874"/>
      <c r="C2" s="875"/>
      <c r="D2" s="879" t="s">
        <v>97</v>
      </c>
      <c r="E2" s="880"/>
      <c r="F2" s="233" t="s">
        <v>1604</v>
      </c>
      <c r="G2" s="233" t="s">
        <v>1605</v>
      </c>
      <c r="H2" s="233" t="s">
        <v>1606</v>
      </c>
      <c r="I2" s="233" t="s">
        <v>1607</v>
      </c>
    </row>
    <row r="3" spans="1:9" ht="15.75" thickBot="1">
      <c r="A3" s="876"/>
      <c r="B3" s="877"/>
      <c r="C3" s="878"/>
      <c r="D3" s="331" t="s">
        <v>1608</v>
      </c>
      <c r="E3" s="332" t="s">
        <v>162</v>
      </c>
      <c r="F3" s="130" t="s">
        <v>162</v>
      </c>
      <c r="G3" s="130" t="s">
        <v>162</v>
      </c>
      <c r="H3" s="130" t="s">
        <v>162</v>
      </c>
      <c r="I3" s="130" t="s">
        <v>162</v>
      </c>
    </row>
    <row r="4" spans="1:9" ht="15" customHeight="1">
      <c r="A4" s="754" t="s">
        <v>1609</v>
      </c>
      <c r="B4" s="870" t="s">
        <v>220</v>
      </c>
      <c r="C4" s="131" t="s">
        <v>164</v>
      </c>
      <c r="D4" s="333" t="str">
        <f>IF(E4='Parametre - Agendové IS'!H86,"OK","Chyba počtu FTE")</f>
        <v>OK</v>
      </c>
      <c r="E4" s="334">
        <f t="shared" ref="E4:E33" si="0">F4+G4+H4+I4</f>
        <v>0</v>
      </c>
      <c r="F4" s="191"/>
      <c r="G4" s="191"/>
      <c r="H4" s="191"/>
      <c r="I4" s="191"/>
    </row>
    <row r="5" spans="1:9">
      <c r="A5" s="869"/>
      <c r="B5" s="871"/>
      <c r="C5" s="128" t="s">
        <v>165</v>
      </c>
      <c r="D5" s="335" t="str">
        <f>IF(E5='Parametre - Agendové IS'!H87,"OK","Chyba počtu FTE")</f>
        <v>OK</v>
      </c>
      <c r="E5" s="336">
        <f t="shared" si="0"/>
        <v>0</v>
      </c>
      <c r="F5" s="192"/>
      <c r="G5" s="192"/>
      <c r="H5" s="192"/>
      <c r="I5" s="192"/>
    </row>
    <row r="6" spans="1:9">
      <c r="A6" s="869"/>
      <c r="B6" s="871"/>
      <c r="C6" s="128" t="s">
        <v>166</v>
      </c>
      <c r="D6" s="335" t="str">
        <f>IF(E6='Parametre - Agendové IS'!H88,"OK","Chyba počtu FTE")</f>
        <v>Chyba počtu FTE</v>
      </c>
      <c r="E6" s="336">
        <f t="shared" si="0"/>
        <v>0</v>
      </c>
      <c r="F6" s="192"/>
      <c r="G6" s="192"/>
      <c r="H6" s="192"/>
      <c r="I6" s="192"/>
    </row>
    <row r="7" spans="1:9">
      <c r="A7" s="869"/>
      <c r="B7" s="871"/>
      <c r="C7" s="128" t="s">
        <v>167</v>
      </c>
      <c r="D7" s="335" t="str">
        <f>IF(E7='Parametre - Agendové IS'!H89,"OK","Chyba počtu FTE")</f>
        <v>OK</v>
      </c>
      <c r="E7" s="336">
        <f t="shared" si="0"/>
        <v>0</v>
      </c>
      <c r="F7" s="192"/>
      <c r="G7" s="192"/>
      <c r="H7" s="192"/>
      <c r="I7" s="192"/>
    </row>
    <row r="8" spans="1:9">
      <c r="A8" s="869"/>
      <c r="B8" s="871"/>
      <c r="C8" s="128" t="s">
        <v>168</v>
      </c>
      <c r="D8" s="335" t="str">
        <f>IF(E8='Parametre - Agendové IS'!H90,"OK","Chyba počtu FTE")</f>
        <v>OK</v>
      </c>
      <c r="E8" s="336">
        <f t="shared" si="0"/>
        <v>0</v>
      </c>
      <c r="F8" s="192"/>
      <c r="G8" s="192"/>
      <c r="H8" s="192"/>
      <c r="I8" s="192"/>
    </row>
    <row r="9" spans="1:9">
      <c r="A9" s="869"/>
      <c r="B9" s="871"/>
      <c r="C9" s="128" t="s">
        <v>169</v>
      </c>
      <c r="D9" s="335" t="str">
        <f>IF(E9='Parametre - Agendové IS'!H91,"OK","Chyba počtu FTE")</f>
        <v>OK</v>
      </c>
      <c r="E9" s="336">
        <f t="shared" si="0"/>
        <v>0</v>
      </c>
      <c r="F9" s="192"/>
      <c r="G9" s="192"/>
      <c r="H9" s="192"/>
      <c r="I9" s="192"/>
    </row>
    <row r="10" spans="1:9">
      <c r="A10" s="869"/>
      <c r="B10" s="871"/>
      <c r="C10" s="128" t="s">
        <v>170</v>
      </c>
      <c r="D10" s="335" t="str">
        <f>IF(E10='Parametre - Agendové IS'!H92,"OK","Chyba počtu FTE")</f>
        <v>OK</v>
      </c>
      <c r="E10" s="336">
        <f t="shared" si="0"/>
        <v>0</v>
      </c>
      <c r="F10" s="192"/>
      <c r="G10" s="192"/>
      <c r="H10" s="192"/>
      <c r="I10" s="192"/>
    </row>
    <row r="11" spans="1:9">
      <c r="A11" s="869"/>
      <c r="B11" s="871"/>
      <c r="C11" s="128" t="s">
        <v>171</v>
      </c>
      <c r="D11" s="335" t="str">
        <f>IF(E11='Parametre - Agendové IS'!H93,"OK","Chyba počtu FTE")</f>
        <v>OK</v>
      </c>
      <c r="E11" s="336">
        <f t="shared" si="0"/>
        <v>0</v>
      </c>
      <c r="F11" s="192"/>
      <c r="G11" s="192"/>
      <c r="H11" s="192"/>
      <c r="I11" s="192"/>
    </row>
    <row r="12" spans="1:9">
      <c r="A12" s="869"/>
      <c r="B12" s="871"/>
      <c r="C12" s="128" t="s">
        <v>172</v>
      </c>
      <c r="D12" s="335" t="str">
        <f>IF(E12='Parametre - Agendové IS'!H94,"OK","Chyba počtu FTE")</f>
        <v>OK</v>
      </c>
      <c r="E12" s="336">
        <f t="shared" si="0"/>
        <v>0</v>
      </c>
      <c r="F12" s="192"/>
      <c r="G12" s="192"/>
      <c r="H12" s="192"/>
      <c r="I12" s="192"/>
    </row>
    <row r="13" spans="1:9" ht="15.75" thickBot="1">
      <c r="A13" s="869"/>
      <c r="B13" s="871"/>
      <c r="C13" s="128" t="s">
        <v>173</v>
      </c>
      <c r="D13" s="337" t="str">
        <f>IF(E13='Parametre - Agendové IS'!H95,"OK","Chyba počtu FTE")</f>
        <v>OK</v>
      </c>
      <c r="E13" s="338">
        <f t="shared" si="0"/>
        <v>0</v>
      </c>
      <c r="F13" s="193"/>
      <c r="G13" s="193"/>
      <c r="H13" s="193"/>
      <c r="I13" s="193"/>
    </row>
    <row r="14" spans="1:9" ht="15" customHeight="1">
      <c r="A14" s="754" t="s">
        <v>1610</v>
      </c>
      <c r="B14" s="870" t="s">
        <v>211</v>
      </c>
      <c r="C14" s="131" t="s">
        <v>164</v>
      </c>
      <c r="D14" s="334" t="str">
        <f>IF(E14='Parametre - Agendové IS'!H5,"OK","Chyba počtu podaní")</f>
        <v>OK</v>
      </c>
      <c r="E14" s="339">
        <f t="shared" si="0"/>
        <v>0</v>
      </c>
      <c r="F14" s="191"/>
      <c r="G14" s="191"/>
      <c r="H14" s="191"/>
      <c r="I14" s="191"/>
    </row>
    <row r="15" spans="1:9">
      <c r="A15" s="869"/>
      <c r="B15" s="871"/>
      <c r="C15" s="128" t="s">
        <v>165</v>
      </c>
      <c r="D15" s="335" t="str">
        <f>IF(E15='Parametre - Agendové IS'!H6,"OK","Chyba počtu podaní")</f>
        <v>OK</v>
      </c>
      <c r="E15" s="336">
        <f t="shared" si="0"/>
        <v>0</v>
      </c>
      <c r="F15" s="192"/>
      <c r="G15" s="192"/>
      <c r="H15" s="192"/>
      <c r="I15" s="192"/>
    </row>
    <row r="16" spans="1:9">
      <c r="A16" s="869"/>
      <c r="B16" s="871"/>
      <c r="C16" s="128" t="s">
        <v>166</v>
      </c>
      <c r="D16" s="335" t="str">
        <f>IF(E16='Parametre - Agendové IS'!H7,"OK","Chyba počtu podaní")</f>
        <v>OK</v>
      </c>
      <c r="E16" s="336">
        <f t="shared" si="0"/>
        <v>0</v>
      </c>
      <c r="F16" s="192"/>
      <c r="G16" s="192"/>
      <c r="H16" s="192"/>
      <c r="I16" s="192"/>
    </row>
    <row r="17" spans="1:9">
      <c r="A17" s="869"/>
      <c r="B17" s="871"/>
      <c r="C17" s="128" t="s">
        <v>167</v>
      </c>
      <c r="D17" s="335" t="str">
        <f>IF(E17='Parametre - Agendové IS'!H8,"OK","Chyba počtu podaní")</f>
        <v>OK</v>
      </c>
      <c r="E17" s="336">
        <f t="shared" si="0"/>
        <v>0</v>
      </c>
      <c r="F17" s="192"/>
      <c r="G17" s="192"/>
      <c r="H17" s="192"/>
      <c r="I17" s="192"/>
    </row>
    <row r="18" spans="1:9">
      <c r="A18" s="869"/>
      <c r="B18" s="871"/>
      <c r="C18" s="128" t="s">
        <v>168</v>
      </c>
      <c r="D18" s="335" t="str">
        <f>IF(E18='Parametre - Agendové IS'!H9,"OK","Chyba počtu podaní")</f>
        <v>OK</v>
      </c>
      <c r="E18" s="336">
        <f t="shared" si="0"/>
        <v>0</v>
      </c>
      <c r="F18" s="192"/>
      <c r="G18" s="192"/>
      <c r="H18" s="192"/>
      <c r="I18" s="192"/>
    </row>
    <row r="19" spans="1:9">
      <c r="A19" s="869"/>
      <c r="B19" s="871"/>
      <c r="C19" s="128" t="s">
        <v>169</v>
      </c>
      <c r="D19" s="335" t="str">
        <f>IF(E19='Parametre - Agendové IS'!H10,"OK","Chyba počtu podaní")</f>
        <v>OK</v>
      </c>
      <c r="E19" s="336">
        <f t="shared" si="0"/>
        <v>0</v>
      </c>
      <c r="F19" s="192"/>
      <c r="G19" s="192"/>
      <c r="H19" s="192"/>
      <c r="I19" s="192"/>
    </row>
    <row r="20" spans="1:9">
      <c r="A20" s="869"/>
      <c r="B20" s="871"/>
      <c r="C20" s="128" t="s">
        <v>170</v>
      </c>
      <c r="D20" s="335" t="str">
        <f>IF(E20='Parametre - Agendové IS'!H11,"OK","Chyba počtu podaní")</f>
        <v>OK</v>
      </c>
      <c r="E20" s="336">
        <f t="shared" si="0"/>
        <v>0</v>
      </c>
      <c r="F20" s="192"/>
      <c r="G20" s="192"/>
      <c r="H20" s="192"/>
      <c r="I20" s="192"/>
    </row>
    <row r="21" spans="1:9">
      <c r="A21" s="869"/>
      <c r="B21" s="871"/>
      <c r="C21" s="128" t="s">
        <v>171</v>
      </c>
      <c r="D21" s="335" t="str">
        <f>IF(E21='Parametre - Agendové IS'!H12,"OK","Chyba počtu podaní")</f>
        <v>OK</v>
      </c>
      <c r="E21" s="336">
        <f t="shared" si="0"/>
        <v>0</v>
      </c>
      <c r="F21" s="192"/>
      <c r="G21" s="192"/>
      <c r="H21" s="192"/>
      <c r="I21" s="192"/>
    </row>
    <row r="22" spans="1:9">
      <c r="A22" s="869"/>
      <c r="B22" s="871"/>
      <c r="C22" s="128" t="s">
        <v>172</v>
      </c>
      <c r="D22" s="335" t="str">
        <f>IF(E22='Parametre - Agendové IS'!H13,"OK","Chyba počtu podaní")</f>
        <v>OK</v>
      </c>
      <c r="E22" s="336">
        <f t="shared" si="0"/>
        <v>0</v>
      </c>
      <c r="F22" s="192"/>
      <c r="G22" s="192"/>
      <c r="H22" s="192"/>
      <c r="I22" s="192"/>
    </row>
    <row r="23" spans="1:9" ht="15.75" thickBot="1">
      <c r="A23" s="756"/>
      <c r="B23" s="872"/>
      <c r="C23" s="129" t="s">
        <v>173</v>
      </c>
      <c r="D23" s="335" t="str">
        <f>IF(E23='Parametre - Agendové IS'!H14,"OK","Chyba počtu podaní")</f>
        <v>OK</v>
      </c>
      <c r="E23" s="336">
        <f t="shared" si="0"/>
        <v>0</v>
      </c>
      <c r="F23" s="192"/>
      <c r="G23" s="192"/>
      <c r="H23" s="192"/>
      <c r="I23" s="192"/>
    </row>
    <row r="24" spans="1:9">
      <c r="A24" s="754" t="s">
        <v>116</v>
      </c>
      <c r="B24" s="870" t="s">
        <v>213</v>
      </c>
      <c r="C24" s="131" t="s">
        <v>164</v>
      </c>
      <c r="D24" s="334" t="str">
        <f>IF(E24='Parametre - Agendové IS'!H126,"OK","Chyba")</f>
        <v>OK</v>
      </c>
      <c r="E24" s="339">
        <f t="shared" si="0"/>
        <v>0</v>
      </c>
      <c r="F24" s="191"/>
      <c r="G24" s="191"/>
      <c r="H24" s="191"/>
      <c r="I24" s="191"/>
    </row>
    <row r="25" spans="1:9">
      <c r="A25" s="869"/>
      <c r="B25" s="871"/>
      <c r="C25" s="128" t="s">
        <v>165</v>
      </c>
      <c r="D25" s="335" t="str">
        <f>IF(E25='Parametre - Agendové IS'!H127,"OK","Chyba")</f>
        <v>OK</v>
      </c>
      <c r="E25" s="336">
        <f t="shared" si="0"/>
        <v>0</v>
      </c>
      <c r="F25" s="192"/>
      <c r="G25" s="192"/>
      <c r="H25" s="192"/>
      <c r="I25" s="192"/>
    </row>
    <row r="26" spans="1:9">
      <c r="A26" s="869"/>
      <c r="B26" s="871"/>
      <c r="C26" s="128" t="s">
        <v>166</v>
      </c>
      <c r="D26" s="335" t="str">
        <f>IF(E26='Parametre - Agendové IS'!H128,"OK","Chyba")</f>
        <v>OK</v>
      </c>
      <c r="E26" s="336">
        <f t="shared" si="0"/>
        <v>0</v>
      </c>
      <c r="F26" s="192"/>
      <c r="G26" s="192"/>
      <c r="H26" s="192"/>
      <c r="I26" s="192"/>
    </row>
    <row r="27" spans="1:9">
      <c r="A27" s="869"/>
      <c r="B27" s="871"/>
      <c r="C27" s="128" t="s">
        <v>167</v>
      </c>
      <c r="D27" s="335" t="str">
        <f>IF(E27='Parametre - Agendové IS'!H129,"OK","Chyba")</f>
        <v>OK</v>
      </c>
      <c r="E27" s="336">
        <f t="shared" si="0"/>
        <v>0</v>
      </c>
      <c r="F27" s="192"/>
      <c r="G27" s="192"/>
      <c r="H27" s="192"/>
      <c r="I27" s="192"/>
    </row>
    <row r="28" spans="1:9">
      <c r="A28" s="869"/>
      <c r="B28" s="871"/>
      <c r="C28" s="128" t="s">
        <v>168</v>
      </c>
      <c r="D28" s="335" t="str">
        <f>IF(E28='Parametre - Agendové IS'!H130,"OK","Chyba")</f>
        <v>OK</v>
      </c>
      <c r="E28" s="336">
        <f t="shared" si="0"/>
        <v>0</v>
      </c>
      <c r="F28" s="192"/>
      <c r="G28" s="192"/>
      <c r="H28" s="192"/>
      <c r="I28" s="192"/>
    </row>
    <row r="29" spans="1:9">
      <c r="A29" s="869"/>
      <c r="B29" s="871"/>
      <c r="C29" s="128" t="s">
        <v>169</v>
      </c>
      <c r="D29" s="335" t="str">
        <f>IF(E29='Parametre - Agendové IS'!H131,"OK","Chyba")</f>
        <v>OK</v>
      </c>
      <c r="E29" s="336">
        <f t="shared" si="0"/>
        <v>0</v>
      </c>
      <c r="F29" s="192"/>
      <c r="G29" s="192"/>
      <c r="H29" s="192"/>
      <c r="I29" s="192"/>
    </row>
    <row r="30" spans="1:9">
      <c r="A30" s="869"/>
      <c r="B30" s="871"/>
      <c r="C30" s="128" t="s">
        <v>170</v>
      </c>
      <c r="D30" s="335" t="str">
        <f>IF(E30='Parametre - Agendové IS'!H132,"OK","Chyba")</f>
        <v>OK</v>
      </c>
      <c r="E30" s="336">
        <f t="shared" si="0"/>
        <v>0</v>
      </c>
      <c r="F30" s="192"/>
      <c r="G30" s="192"/>
      <c r="H30" s="192"/>
      <c r="I30" s="192"/>
    </row>
    <row r="31" spans="1:9">
      <c r="A31" s="869"/>
      <c r="B31" s="871"/>
      <c r="C31" s="128" t="s">
        <v>171</v>
      </c>
      <c r="D31" s="335" t="str">
        <f>IF(E31='Parametre - Agendové IS'!H133,"OK","Chyba")</f>
        <v>OK</v>
      </c>
      <c r="E31" s="336">
        <f t="shared" si="0"/>
        <v>0</v>
      </c>
      <c r="F31" s="192"/>
      <c r="G31" s="192"/>
      <c r="H31" s="192"/>
      <c r="I31" s="192"/>
    </row>
    <row r="32" spans="1:9">
      <c r="A32" s="869"/>
      <c r="B32" s="871"/>
      <c r="C32" s="128" t="s">
        <v>172</v>
      </c>
      <c r="D32" s="335" t="str">
        <f>IF(E32='Parametre - Agendové IS'!H134,"OK","Chyba")</f>
        <v>OK</v>
      </c>
      <c r="E32" s="336">
        <f t="shared" si="0"/>
        <v>0</v>
      </c>
      <c r="F32" s="192"/>
      <c r="G32" s="192"/>
      <c r="H32" s="192"/>
      <c r="I32" s="192"/>
    </row>
    <row r="33" spans="1:9" ht="15.75" thickBot="1">
      <c r="A33" s="756"/>
      <c r="B33" s="872"/>
      <c r="C33" s="129" t="s">
        <v>173</v>
      </c>
      <c r="D33" s="335" t="str">
        <f>IF(E33='Parametre - Agendové IS'!H135,"OK","Chyba")</f>
        <v>OK</v>
      </c>
      <c r="E33" s="336">
        <f t="shared" si="0"/>
        <v>0</v>
      </c>
      <c r="F33" s="192"/>
      <c r="G33" s="192"/>
      <c r="H33" s="192"/>
      <c r="I33" s="192"/>
    </row>
    <row r="34" spans="1:9">
      <c r="A34" s="127"/>
      <c r="B34" s="667"/>
    </row>
    <row r="35" spans="1:9">
      <c r="A35" s="127"/>
      <c r="B35" s="667"/>
    </row>
    <row r="36" spans="1:9" ht="15.75" thickBot="1">
      <c r="A36" s="127"/>
      <c r="B36" s="667"/>
    </row>
    <row r="37" spans="1:9">
      <c r="A37" s="873">
        <f>'Parametre - Agendové IS'!BI2</f>
        <v>0</v>
      </c>
      <c r="B37" s="874"/>
      <c r="C37" s="875"/>
      <c r="D37" s="879" t="s">
        <v>97</v>
      </c>
      <c r="E37" s="880"/>
      <c r="F37" s="233" t="s">
        <v>1604</v>
      </c>
      <c r="G37" s="233" t="s">
        <v>1605</v>
      </c>
      <c r="H37" s="233" t="s">
        <v>1606</v>
      </c>
      <c r="I37" s="233" t="s">
        <v>1607</v>
      </c>
    </row>
    <row r="38" spans="1:9" ht="15.75" thickBot="1">
      <c r="A38" s="876"/>
      <c r="B38" s="877"/>
      <c r="C38" s="878"/>
      <c r="D38" s="331" t="s">
        <v>1608</v>
      </c>
      <c r="E38" s="332" t="s">
        <v>162</v>
      </c>
      <c r="F38" s="130" t="s">
        <v>162</v>
      </c>
      <c r="G38" s="130" t="s">
        <v>162</v>
      </c>
      <c r="H38" s="130" t="s">
        <v>162</v>
      </c>
      <c r="I38" s="130" t="s">
        <v>162</v>
      </c>
    </row>
    <row r="39" spans="1:9">
      <c r="A39" s="754" t="s">
        <v>1609</v>
      </c>
      <c r="B39" s="870" t="s">
        <v>220</v>
      </c>
      <c r="C39" s="131" t="s">
        <v>164</v>
      </c>
      <c r="D39" s="333" t="str">
        <f>IF(E39='Parametre - Agendové IS'!BJ86,"OK","Chyba počtu FTE")</f>
        <v>OK</v>
      </c>
      <c r="E39" s="334">
        <f t="shared" ref="E39:E68" si="1">F39+G39+H39+I39</f>
        <v>0</v>
      </c>
      <c r="F39" s="191"/>
      <c r="G39" s="191"/>
      <c r="H39" s="191"/>
      <c r="I39" s="191"/>
    </row>
    <row r="40" spans="1:9">
      <c r="A40" s="869"/>
      <c r="B40" s="871"/>
      <c r="C40" s="128" t="s">
        <v>165</v>
      </c>
      <c r="D40" s="335" t="str">
        <f>IF(E40='Parametre - Agendové IS'!BJ87,"OK","Chyba počtu FTE")</f>
        <v>OK</v>
      </c>
      <c r="E40" s="336">
        <f t="shared" si="1"/>
        <v>0</v>
      </c>
      <c r="F40" s="192"/>
      <c r="G40" s="192"/>
      <c r="H40" s="192"/>
      <c r="I40" s="192"/>
    </row>
    <row r="41" spans="1:9">
      <c r="A41" s="869"/>
      <c r="B41" s="871"/>
      <c r="C41" s="128" t="s">
        <v>166</v>
      </c>
      <c r="D41" s="335" t="str">
        <f>IF(E41='Parametre - Agendové IS'!BJ88,"OK","Chyba počtu FTE")</f>
        <v>OK</v>
      </c>
      <c r="E41" s="336">
        <f t="shared" si="1"/>
        <v>0</v>
      </c>
      <c r="F41" s="192"/>
      <c r="G41" s="192"/>
      <c r="H41" s="192"/>
      <c r="I41" s="192"/>
    </row>
    <row r="42" spans="1:9">
      <c r="A42" s="869"/>
      <c r="B42" s="871"/>
      <c r="C42" s="128" t="s">
        <v>167</v>
      </c>
      <c r="D42" s="335" t="str">
        <f>IF(E42='Parametre - Agendové IS'!BJ89,"OK","Chyba počtu FTE")</f>
        <v>OK</v>
      </c>
      <c r="E42" s="336">
        <f t="shared" si="1"/>
        <v>0</v>
      </c>
      <c r="F42" s="192"/>
      <c r="G42" s="192"/>
      <c r="H42" s="192"/>
      <c r="I42" s="192"/>
    </row>
    <row r="43" spans="1:9">
      <c r="A43" s="869"/>
      <c r="B43" s="871"/>
      <c r="C43" s="128" t="s">
        <v>168</v>
      </c>
      <c r="D43" s="335" t="str">
        <f>IF(E43='Parametre - Agendové IS'!BJ90,"OK","Chyba počtu FTE")</f>
        <v>OK</v>
      </c>
      <c r="E43" s="336">
        <f t="shared" si="1"/>
        <v>0</v>
      </c>
      <c r="F43" s="192"/>
      <c r="G43" s="192"/>
      <c r="H43" s="192"/>
      <c r="I43" s="192"/>
    </row>
    <row r="44" spans="1:9" ht="15" customHeight="1">
      <c r="A44" s="869"/>
      <c r="B44" s="871"/>
      <c r="C44" s="128" t="s">
        <v>169</v>
      </c>
      <c r="D44" s="335" t="str">
        <f>IF(E44='Parametre - Agendové IS'!BJ91,"OK","Chyba počtu FTE")</f>
        <v>OK</v>
      </c>
      <c r="E44" s="336">
        <f t="shared" si="1"/>
        <v>0</v>
      </c>
      <c r="F44" s="192"/>
      <c r="G44" s="192"/>
      <c r="H44" s="192"/>
      <c r="I44" s="192"/>
    </row>
    <row r="45" spans="1:9">
      <c r="A45" s="869"/>
      <c r="B45" s="871"/>
      <c r="C45" s="128" t="s">
        <v>170</v>
      </c>
      <c r="D45" s="335" t="str">
        <f>IF(E45='Parametre - Agendové IS'!BJ92,"OK","Chyba počtu FTE")</f>
        <v>OK</v>
      </c>
      <c r="E45" s="336">
        <f t="shared" si="1"/>
        <v>0</v>
      </c>
      <c r="F45" s="192"/>
      <c r="G45" s="192"/>
      <c r="H45" s="192"/>
      <c r="I45" s="192"/>
    </row>
    <row r="46" spans="1:9">
      <c r="A46" s="869"/>
      <c r="B46" s="871"/>
      <c r="C46" s="128" t="s">
        <v>171</v>
      </c>
      <c r="D46" s="335" t="str">
        <f>IF(E46='Parametre - Agendové IS'!BJ93,"OK","Chyba počtu FTE")</f>
        <v>OK</v>
      </c>
      <c r="E46" s="336">
        <f t="shared" si="1"/>
        <v>0</v>
      </c>
      <c r="F46" s="192"/>
      <c r="G46" s="192"/>
      <c r="H46" s="192"/>
      <c r="I46" s="192"/>
    </row>
    <row r="47" spans="1:9">
      <c r="A47" s="869"/>
      <c r="B47" s="871"/>
      <c r="C47" s="128" t="s">
        <v>172</v>
      </c>
      <c r="D47" s="335" t="str">
        <f>IF(E47='Parametre - Agendové IS'!BJ94,"OK","Chyba počtu FTE")</f>
        <v>OK</v>
      </c>
      <c r="E47" s="336">
        <f t="shared" si="1"/>
        <v>0</v>
      </c>
      <c r="F47" s="192"/>
      <c r="G47" s="192"/>
      <c r="H47" s="192"/>
      <c r="I47" s="192"/>
    </row>
    <row r="48" spans="1:9" ht="15.75" thickBot="1">
      <c r="A48" s="869"/>
      <c r="B48" s="871"/>
      <c r="C48" s="128" t="s">
        <v>173</v>
      </c>
      <c r="D48" s="337" t="str">
        <f>IF(E48='Parametre - Agendové IS'!BJ95,"OK","Chyba počtu FTE")</f>
        <v>OK</v>
      </c>
      <c r="E48" s="338">
        <f t="shared" si="1"/>
        <v>0</v>
      </c>
      <c r="F48" s="193"/>
      <c r="G48" s="193"/>
      <c r="H48" s="193"/>
      <c r="I48" s="193"/>
    </row>
    <row r="49" spans="1:9">
      <c r="A49" s="754" t="s">
        <v>1610</v>
      </c>
      <c r="B49" s="870" t="s">
        <v>211</v>
      </c>
      <c r="C49" s="131" t="s">
        <v>164</v>
      </c>
      <c r="D49" s="334" t="str">
        <f>IF(E49='Parametre - Agendové IS'!BJ5,"OK","Chyba počtu podaní")</f>
        <v>OK</v>
      </c>
      <c r="E49" s="339">
        <f t="shared" si="1"/>
        <v>0</v>
      </c>
      <c r="F49" s="191"/>
      <c r="G49" s="191"/>
      <c r="H49" s="191"/>
      <c r="I49" s="191"/>
    </row>
    <row r="50" spans="1:9">
      <c r="A50" s="869"/>
      <c r="B50" s="871"/>
      <c r="C50" s="128" t="s">
        <v>165</v>
      </c>
      <c r="D50" s="335" t="str">
        <f>IF(E50='Parametre - Agendové IS'!BJ6,"OK","Chyba počtu podaní")</f>
        <v>OK</v>
      </c>
      <c r="E50" s="336">
        <f t="shared" si="1"/>
        <v>0</v>
      </c>
      <c r="F50" s="192"/>
      <c r="G50" s="192"/>
      <c r="H50" s="192"/>
      <c r="I50" s="192"/>
    </row>
    <row r="51" spans="1:9">
      <c r="A51" s="869"/>
      <c r="B51" s="871"/>
      <c r="C51" s="128" t="s">
        <v>166</v>
      </c>
      <c r="D51" s="335" t="str">
        <f>IF(E51='Parametre - Agendové IS'!BJ7,"OK","Chyba počtu podaní")</f>
        <v>OK</v>
      </c>
      <c r="E51" s="336">
        <f t="shared" si="1"/>
        <v>0</v>
      </c>
      <c r="F51" s="192"/>
      <c r="G51" s="192"/>
      <c r="H51" s="192"/>
      <c r="I51" s="192"/>
    </row>
    <row r="52" spans="1:9">
      <c r="A52" s="869"/>
      <c r="B52" s="871"/>
      <c r="C52" s="128" t="s">
        <v>167</v>
      </c>
      <c r="D52" s="335" t="str">
        <f>IF(E52='Parametre - Agendové IS'!BJ8,"OK","Chyba počtu podaní")</f>
        <v>OK</v>
      </c>
      <c r="E52" s="336">
        <f t="shared" si="1"/>
        <v>0</v>
      </c>
      <c r="F52" s="192"/>
      <c r="G52" s="192"/>
      <c r="H52" s="192"/>
      <c r="I52" s="192"/>
    </row>
    <row r="53" spans="1:9">
      <c r="A53" s="869"/>
      <c r="B53" s="871"/>
      <c r="C53" s="128" t="s">
        <v>168</v>
      </c>
      <c r="D53" s="335" t="str">
        <f>IF(E53='Parametre - Agendové IS'!BJ9,"OK","Chyba počtu podaní")</f>
        <v>OK</v>
      </c>
      <c r="E53" s="336">
        <f t="shared" si="1"/>
        <v>0</v>
      </c>
      <c r="F53" s="192"/>
      <c r="G53" s="192"/>
      <c r="H53" s="192"/>
      <c r="I53" s="192"/>
    </row>
    <row r="54" spans="1:9">
      <c r="A54" s="869"/>
      <c r="B54" s="871"/>
      <c r="C54" s="128" t="s">
        <v>169</v>
      </c>
      <c r="D54" s="335" t="str">
        <f>IF(E54='Parametre - Agendové IS'!BJ10,"OK","Chyba počtu podaní")</f>
        <v>OK</v>
      </c>
      <c r="E54" s="336">
        <f t="shared" si="1"/>
        <v>0</v>
      </c>
      <c r="F54" s="192"/>
      <c r="G54" s="192"/>
      <c r="H54" s="192"/>
      <c r="I54" s="192"/>
    </row>
    <row r="55" spans="1:9">
      <c r="A55" s="869"/>
      <c r="B55" s="871"/>
      <c r="C55" s="128" t="s">
        <v>170</v>
      </c>
      <c r="D55" s="335" t="str">
        <f>IF(E55='Parametre - Agendové IS'!BJ11,"OK","Chyba počtu podaní")</f>
        <v>OK</v>
      </c>
      <c r="E55" s="336">
        <f t="shared" si="1"/>
        <v>0</v>
      </c>
      <c r="F55" s="192"/>
      <c r="G55" s="192"/>
      <c r="H55" s="192"/>
      <c r="I55" s="192"/>
    </row>
    <row r="56" spans="1:9">
      <c r="A56" s="869"/>
      <c r="B56" s="871"/>
      <c r="C56" s="128" t="s">
        <v>171</v>
      </c>
      <c r="D56" s="335" t="str">
        <f>IF(E56='Parametre - Agendové IS'!BJ12,"OK","Chyba počtu podaní")</f>
        <v>OK</v>
      </c>
      <c r="E56" s="336">
        <f t="shared" si="1"/>
        <v>0</v>
      </c>
      <c r="F56" s="192"/>
      <c r="G56" s="192"/>
      <c r="H56" s="192"/>
      <c r="I56" s="192"/>
    </row>
    <row r="57" spans="1:9">
      <c r="A57" s="869"/>
      <c r="B57" s="871"/>
      <c r="C57" s="128" t="s">
        <v>172</v>
      </c>
      <c r="D57" s="335" t="str">
        <f>IF(E57='Parametre - Agendové IS'!BJ13,"OK","Chyba počtu podaní")</f>
        <v>OK</v>
      </c>
      <c r="E57" s="336">
        <f t="shared" si="1"/>
        <v>0</v>
      </c>
      <c r="F57" s="192"/>
      <c r="G57" s="192"/>
      <c r="H57" s="192"/>
      <c r="I57" s="192"/>
    </row>
    <row r="58" spans="1:9" ht="15.75" thickBot="1">
      <c r="A58" s="756"/>
      <c r="B58" s="872"/>
      <c r="C58" s="129" t="s">
        <v>173</v>
      </c>
      <c r="D58" s="335" t="str">
        <f>IF(E58='Parametre - Agendové IS'!BJ14,"OK","Chyba počtu podaní")</f>
        <v>OK</v>
      </c>
      <c r="E58" s="336">
        <f t="shared" si="1"/>
        <v>0</v>
      </c>
      <c r="F58" s="192"/>
      <c r="G58" s="192"/>
      <c r="H58" s="192"/>
      <c r="I58" s="192"/>
    </row>
    <row r="59" spans="1:9">
      <c r="A59" s="754" t="s">
        <v>116</v>
      </c>
      <c r="B59" s="870" t="s">
        <v>213</v>
      </c>
      <c r="C59" s="131" t="s">
        <v>164</v>
      </c>
      <c r="D59" s="334" t="str">
        <f>IF(E59='Parametre - Agendové IS'!BJ126,"OK","Chyba")</f>
        <v>OK</v>
      </c>
      <c r="E59" s="339">
        <f t="shared" si="1"/>
        <v>0</v>
      </c>
      <c r="F59" s="191"/>
      <c r="G59" s="191"/>
      <c r="H59" s="191"/>
      <c r="I59" s="191"/>
    </row>
    <row r="60" spans="1:9">
      <c r="A60" s="869"/>
      <c r="B60" s="871"/>
      <c r="C60" s="128" t="s">
        <v>165</v>
      </c>
      <c r="D60" s="335" t="str">
        <f>IF(E60='Parametre - Agendové IS'!BJ127,"OK","Chyba")</f>
        <v>OK</v>
      </c>
      <c r="E60" s="336">
        <f t="shared" si="1"/>
        <v>0</v>
      </c>
      <c r="F60" s="192"/>
      <c r="G60" s="192"/>
      <c r="H60" s="192"/>
      <c r="I60" s="192"/>
    </row>
    <row r="61" spans="1:9">
      <c r="A61" s="869"/>
      <c r="B61" s="871"/>
      <c r="C61" s="128" t="s">
        <v>166</v>
      </c>
      <c r="D61" s="335" t="str">
        <f>IF(E61='Parametre - Agendové IS'!BJ128,"OK","Chyba")</f>
        <v>OK</v>
      </c>
      <c r="E61" s="336">
        <f t="shared" si="1"/>
        <v>0</v>
      </c>
      <c r="F61" s="192"/>
      <c r="G61" s="192"/>
      <c r="H61" s="192"/>
      <c r="I61" s="192"/>
    </row>
    <row r="62" spans="1:9">
      <c r="A62" s="869"/>
      <c r="B62" s="871"/>
      <c r="C62" s="128" t="s">
        <v>167</v>
      </c>
      <c r="D62" s="335" t="str">
        <f>IF(E62='Parametre - Agendové IS'!BJ129,"OK","Chyba")</f>
        <v>OK</v>
      </c>
      <c r="E62" s="336">
        <f t="shared" si="1"/>
        <v>0</v>
      </c>
      <c r="F62" s="192"/>
      <c r="G62" s="192"/>
      <c r="H62" s="192"/>
      <c r="I62" s="192"/>
    </row>
    <row r="63" spans="1:9">
      <c r="A63" s="869"/>
      <c r="B63" s="871"/>
      <c r="C63" s="128" t="s">
        <v>168</v>
      </c>
      <c r="D63" s="335" t="str">
        <f>IF(E63='Parametre - Agendové IS'!BJ130,"OK","Chyba")</f>
        <v>OK</v>
      </c>
      <c r="E63" s="336">
        <f t="shared" si="1"/>
        <v>0</v>
      </c>
      <c r="F63" s="192"/>
      <c r="G63" s="192"/>
      <c r="H63" s="192"/>
      <c r="I63" s="192"/>
    </row>
    <row r="64" spans="1:9">
      <c r="A64" s="869"/>
      <c r="B64" s="871"/>
      <c r="C64" s="128" t="s">
        <v>169</v>
      </c>
      <c r="D64" s="335" t="str">
        <f>IF(E64='Parametre - Agendové IS'!BJ131,"OK","Chyba")</f>
        <v>OK</v>
      </c>
      <c r="E64" s="336">
        <f t="shared" si="1"/>
        <v>0</v>
      </c>
      <c r="F64" s="192"/>
      <c r="G64" s="192"/>
      <c r="H64" s="192"/>
      <c r="I64" s="192"/>
    </row>
    <row r="65" spans="1:9">
      <c r="A65" s="869"/>
      <c r="B65" s="871"/>
      <c r="C65" s="128" t="s">
        <v>170</v>
      </c>
      <c r="D65" s="335" t="str">
        <f>IF(E65='Parametre - Agendové IS'!BJ132,"OK","Chyba")</f>
        <v>OK</v>
      </c>
      <c r="E65" s="336">
        <f t="shared" si="1"/>
        <v>0</v>
      </c>
      <c r="F65" s="192"/>
      <c r="G65" s="192"/>
      <c r="H65" s="192"/>
      <c r="I65" s="192"/>
    </row>
    <row r="66" spans="1:9">
      <c r="A66" s="869"/>
      <c r="B66" s="871"/>
      <c r="C66" s="128" t="s">
        <v>171</v>
      </c>
      <c r="D66" s="335" t="str">
        <f>IF(E66='Parametre - Agendové IS'!BJ133,"OK","Chyba")</f>
        <v>OK</v>
      </c>
      <c r="E66" s="336">
        <f t="shared" si="1"/>
        <v>0</v>
      </c>
      <c r="F66" s="192"/>
      <c r="G66" s="192"/>
      <c r="H66" s="192"/>
      <c r="I66" s="192"/>
    </row>
    <row r="67" spans="1:9">
      <c r="A67" s="869"/>
      <c r="B67" s="871"/>
      <c r="C67" s="128" t="s">
        <v>172</v>
      </c>
      <c r="D67" s="335" t="str">
        <f>IF(E67='Parametre - Agendové IS'!BJ134,"OK","Chyba")</f>
        <v>OK</v>
      </c>
      <c r="E67" s="336">
        <f t="shared" si="1"/>
        <v>0</v>
      </c>
      <c r="F67" s="192"/>
      <c r="G67" s="192"/>
      <c r="H67" s="192"/>
      <c r="I67" s="192"/>
    </row>
    <row r="68" spans="1:9" ht="15.75" thickBot="1">
      <c r="A68" s="756"/>
      <c r="B68" s="872"/>
      <c r="C68" s="129" t="s">
        <v>173</v>
      </c>
      <c r="D68" s="335" t="str">
        <f>IF(E68='Parametre - Agendové IS'!BJ135,"OK","Chyba")</f>
        <v>OK</v>
      </c>
      <c r="E68" s="336">
        <f t="shared" si="1"/>
        <v>0</v>
      </c>
      <c r="F68" s="192"/>
      <c r="G68" s="192"/>
      <c r="H68" s="192"/>
      <c r="I68" s="192"/>
    </row>
    <row r="71" spans="1:9" ht="15.75" thickBot="1"/>
    <row r="72" spans="1:9">
      <c r="A72" s="873">
        <f>'Parametre - Agendové IS'!BL2</f>
        <v>0</v>
      </c>
      <c r="B72" s="874"/>
      <c r="C72" s="875"/>
      <c r="D72" s="879" t="s">
        <v>97</v>
      </c>
      <c r="E72" s="880"/>
      <c r="F72" s="233" t="s">
        <v>1604</v>
      </c>
      <c r="G72" s="233" t="s">
        <v>1605</v>
      </c>
      <c r="H72" s="233" t="s">
        <v>1606</v>
      </c>
      <c r="I72" s="233" t="s">
        <v>1607</v>
      </c>
    </row>
    <row r="73" spans="1:9" ht="15.75" thickBot="1">
      <c r="A73" s="876"/>
      <c r="B73" s="877"/>
      <c r="C73" s="878"/>
      <c r="D73" s="331" t="s">
        <v>1608</v>
      </c>
      <c r="E73" s="332" t="s">
        <v>162</v>
      </c>
      <c r="F73" s="130" t="s">
        <v>162</v>
      </c>
      <c r="G73" s="130" t="s">
        <v>162</v>
      </c>
      <c r="H73" s="130" t="s">
        <v>162</v>
      </c>
      <c r="I73" s="130" t="s">
        <v>162</v>
      </c>
    </row>
    <row r="74" spans="1:9">
      <c r="A74" s="754" t="s">
        <v>1609</v>
      </c>
      <c r="B74" s="870" t="s">
        <v>220</v>
      </c>
      <c r="C74" s="131" t="s">
        <v>164</v>
      </c>
      <c r="D74" s="333" t="str">
        <f>IF(E74='Parametre - Agendové IS'!BM86,"OK","Chyba počtu FTE")</f>
        <v>OK</v>
      </c>
      <c r="E74" s="334">
        <f t="shared" ref="E74:E103" si="2">F74+G74+H74+I74</f>
        <v>0</v>
      </c>
      <c r="F74" s="191"/>
      <c r="G74" s="191"/>
      <c r="H74" s="191"/>
      <c r="I74" s="191"/>
    </row>
    <row r="75" spans="1:9">
      <c r="A75" s="869"/>
      <c r="B75" s="871"/>
      <c r="C75" s="128" t="s">
        <v>165</v>
      </c>
      <c r="D75" s="335" t="str">
        <f>IF(E75='Parametre - Agendové IS'!BM87,"OK","Chyba počtu FTE")</f>
        <v>OK</v>
      </c>
      <c r="E75" s="336">
        <f t="shared" si="2"/>
        <v>0</v>
      </c>
      <c r="F75" s="192"/>
      <c r="G75" s="192"/>
      <c r="H75" s="192"/>
      <c r="I75" s="192"/>
    </row>
    <row r="76" spans="1:9">
      <c r="A76" s="869"/>
      <c r="B76" s="871"/>
      <c r="C76" s="128" t="s">
        <v>166</v>
      </c>
      <c r="D76" s="335" t="str">
        <f>IF(E76='Parametre - Agendové IS'!BM88,"OK","Chyba počtu FTE")</f>
        <v>OK</v>
      </c>
      <c r="E76" s="336">
        <f t="shared" si="2"/>
        <v>0</v>
      </c>
      <c r="F76" s="192"/>
      <c r="G76" s="192"/>
      <c r="H76" s="192"/>
      <c r="I76" s="192"/>
    </row>
    <row r="77" spans="1:9">
      <c r="A77" s="869"/>
      <c r="B77" s="871"/>
      <c r="C77" s="128" t="s">
        <v>167</v>
      </c>
      <c r="D77" s="335" t="str">
        <f>IF(E77='Parametre - Agendové IS'!BM89,"OK","Chyba počtu FTE")</f>
        <v>OK</v>
      </c>
      <c r="E77" s="336">
        <f t="shared" si="2"/>
        <v>0</v>
      </c>
      <c r="F77" s="192"/>
      <c r="G77" s="192"/>
      <c r="H77" s="192"/>
      <c r="I77" s="192"/>
    </row>
    <row r="78" spans="1:9">
      <c r="A78" s="869"/>
      <c r="B78" s="871"/>
      <c r="C78" s="128" t="s">
        <v>168</v>
      </c>
      <c r="D78" s="335" t="str">
        <f>IF(E78='Parametre - Agendové IS'!BM90,"OK","Chyba počtu FTE")</f>
        <v>OK</v>
      </c>
      <c r="E78" s="336">
        <f t="shared" si="2"/>
        <v>0</v>
      </c>
      <c r="F78" s="192"/>
      <c r="G78" s="192"/>
      <c r="H78" s="192"/>
      <c r="I78" s="192"/>
    </row>
    <row r="79" spans="1:9">
      <c r="A79" s="869"/>
      <c r="B79" s="871"/>
      <c r="C79" s="128" t="s">
        <v>169</v>
      </c>
      <c r="D79" s="335" t="str">
        <f>IF(E79='Parametre - Agendové IS'!BM91,"OK","Chyba počtu FTE")</f>
        <v>OK</v>
      </c>
      <c r="E79" s="336">
        <f t="shared" si="2"/>
        <v>0</v>
      </c>
      <c r="F79" s="192"/>
      <c r="G79" s="192"/>
      <c r="H79" s="192"/>
      <c r="I79" s="192"/>
    </row>
    <row r="80" spans="1:9">
      <c r="A80" s="869"/>
      <c r="B80" s="871"/>
      <c r="C80" s="128" t="s">
        <v>170</v>
      </c>
      <c r="D80" s="335" t="str">
        <f>IF(E80='Parametre - Agendové IS'!BM92,"OK","Chyba počtu FTE")</f>
        <v>OK</v>
      </c>
      <c r="E80" s="336">
        <f t="shared" si="2"/>
        <v>0</v>
      </c>
      <c r="F80" s="192"/>
      <c r="G80" s="192"/>
      <c r="H80" s="192"/>
      <c r="I80" s="192"/>
    </row>
    <row r="81" spans="1:9">
      <c r="A81" s="869"/>
      <c r="B81" s="871"/>
      <c r="C81" s="128" t="s">
        <v>171</v>
      </c>
      <c r="D81" s="335" t="str">
        <f>IF(E81='Parametre - Agendové IS'!BM93,"OK","Chyba počtu FTE")</f>
        <v>OK</v>
      </c>
      <c r="E81" s="336">
        <f t="shared" si="2"/>
        <v>0</v>
      </c>
      <c r="F81" s="192"/>
      <c r="G81" s="192"/>
      <c r="H81" s="192"/>
      <c r="I81" s="192"/>
    </row>
    <row r="82" spans="1:9">
      <c r="A82" s="869"/>
      <c r="B82" s="871"/>
      <c r="C82" s="128" t="s">
        <v>172</v>
      </c>
      <c r="D82" s="335" t="str">
        <f>IF(E82='Parametre - Agendové IS'!BM94,"OK","Chyba počtu FTE")</f>
        <v>OK</v>
      </c>
      <c r="E82" s="336">
        <f t="shared" si="2"/>
        <v>0</v>
      </c>
      <c r="F82" s="192"/>
      <c r="G82" s="192"/>
      <c r="H82" s="192"/>
      <c r="I82" s="192"/>
    </row>
    <row r="83" spans="1:9" ht="15.75" thickBot="1">
      <c r="A83" s="869"/>
      <c r="B83" s="871"/>
      <c r="C83" s="128" t="s">
        <v>173</v>
      </c>
      <c r="D83" s="337" t="str">
        <f>IF(E83='Parametre - Agendové IS'!BM95,"OK","Chyba počtu FTE")</f>
        <v>OK</v>
      </c>
      <c r="E83" s="338">
        <f t="shared" si="2"/>
        <v>0</v>
      </c>
      <c r="F83" s="193"/>
      <c r="G83" s="193"/>
      <c r="H83" s="193"/>
      <c r="I83" s="193"/>
    </row>
    <row r="84" spans="1:9">
      <c r="A84" s="754" t="s">
        <v>1610</v>
      </c>
      <c r="B84" s="870" t="s">
        <v>211</v>
      </c>
      <c r="C84" s="131" t="s">
        <v>164</v>
      </c>
      <c r="D84" s="334" t="str">
        <f>IF(E84='Parametre - Agendové IS'!BM5,"OK","Chyba počtu podaní")</f>
        <v>OK</v>
      </c>
      <c r="E84" s="339">
        <f t="shared" si="2"/>
        <v>0</v>
      </c>
      <c r="F84" s="191"/>
      <c r="G84" s="191"/>
      <c r="H84" s="191"/>
      <c r="I84" s="191"/>
    </row>
    <row r="85" spans="1:9">
      <c r="A85" s="869"/>
      <c r="B85" s="871"/>
      <c r="C85" s="128" t="s">
        <v>165</v>
      </c>
      <c r="D85" s="335" t="str">
        <f>IF(E85='Parametre - Agendové IS'!BM6,"OK","Chyba počtu podaní")</f>
        <v>OK</v>
      </c>
      <c r="E85" s="336">
        <f t="shared" si="2"/>
        <v>0</v>
      </c>
      <c r="F85" s="192"/>
      <c r="G85" s="192"/>
      <c r="H85" s="192"/>
      <c r="I85" s="192"/>
    </row>
    <row r="86" spans="1:9">
      <c r="A86" s="869"/>
      <c r="B86" s="871"/>
      <c r="C86" s="128" t="s">
        <v>166</v>
      </c>
      <c r="D86" s="335" t="str">
        <f>IF(E86='Parametre - Agendové IS'!BM7,"OK","Chyba počtu podaní")</f>
        <v>OK</v>
      </c>
      <c r="E86" s="336">
        <f t="shared" si="2"/>
        <v>0</v>
      </c>
      <c r="F86" s="192"/>
      <c r="G86" s="192"/>
      <c r="H86" s="192"/>
      <c r="I86" s="192"/>
    </row>
    <row r="87" spans="1:9">
      <c r="A87" s="869"/>
      <c r="B87" s="871"/>
      <c r="C87" s="128" t="s">
        <v>167</v>
      </c>
      <c r="D87" s="335" t="str">
        <f>IF(E87='Parametre - Agendové IS'!BM8,"OK","Chyba počtu podaní")</f>
        <v>OK</v>
      </c>
      <c r="E87" s="336">
        <f t="shared" si="2"/>
        <v>0</v>
      </c>
      <c r="F87" s="192"/>
      <c r="G87" s="192"/>
      <c r="H87" s="192"/>
      <c r="I87" s="192"/>
    </row>
    <row r="88" spans="1:9">
      <c r="A88" s="869"/>
      <c r="B88" s="871"/>
      <c r="C88" s="128" t="s">
        <v>168</v>
      </c>
      <c r="D88" s="335" t="str">
        <f>IF(E88='Parametre - Agendové IS'!BM9,"OK","Chyba počtu podaní")</f>
        <v>OK</v>
      </c>
      <c r="E88" s="336">
        <f t="shared" si="2"/>
        <v>0</v>
      </c>
      <c r="F88" s="192"/>
      <c r="G88" s="192"/>
      <c r="H88" s="192"/>
      <c r="I88" s="192"/>
    </row>
    <row r="89" spans="1:9">
      <c r="A89" s="869"/>
      <c r="B89" s="871"/>
      <c r="C89" s="128" t="s">
        <v>169</v>
      </c>
      <c r="D89" s="335" t="str">
        <f>IF(E89='Parametre - Agendové IS'!BM10,"OK","Chyba počtu podaní")</f>
        <v>OK</v>
      </c>
      <c r="E89" s="336">
        <f t="shared" si="2"/>
        <v>0</v>
      </c>
      <c r="F89" s="192"/>
      <c r="G89" s="192"/>
      <c r="H89" s="192"/>
      <c r="I89" s="192"/>
    </row>
    <row r="90" spans="1:9">
      <c r="A90" s="869"/>
      <c r="B90" s="871"/>
      <c r="C90" s="128" t="s">
        <v>170</v>
      </c>
      <c r="D90" s="335" t="str">
        <f>IF(E90='Parametre - Agendové IS'!BM11,"OK","Chyba počtu podaní")</f>
        <v>OK</v>
      </c>
      <c r="E90" s="336">
        <f t="shared" si="2"/>
        <v>0</v>
      </c>
      <c r="F90" s="192"/>
      <c r="G90" s="192"/>
      <c r="H90" s="192"/>
      <c r="I90" s="192"/>
    </row>
    <row r="91" spans="1:9">
      <c r="A91" s="869"/>
      <c r="B91" s="871"/>
      <c r="C91" s="128" t="s">
        <v>171</v>
      </c>
      <c r="D91" s="335" t="str">
        <f>IF(E91='Parametre - Agendové IS'!BM12,"OK","Chyba počtu podaní")</f>
        <v>OK</v>
      </c>
      <c r="E91" s="336">
        <f t="shared" si="2"/>
        <v>0</v>
      </c>
      <c r="F91" s="192"/>
      <c r="G91" s="192"/>
      <c r="H91" s="192"/>
      <c r="I91" s="192"/>
    </row>
    <row r="92" spans="1:9">
      <c r="A92" s="869"/>
      <c r="B92" s="871"/>
      <c r="C92" s="128" t="s">
        <v>172</v>
      </c>
      <c r="D92" s="335" t="str">
        <f>IF(E92='Parametre - Agendové IS'!BM13,"OK","Chyba počtu podaní")</f>
        <v>OK</v>
      </c>
      <c r="E92" s="336">
        <f t="shared" si="2"/>
        <v>0</v>
      </c>
      <c r="F92" s="192"/>
      <c r="G92" s="192"/>
      <c r="H92" s="192"/>
      <c r="I92" s="192"/>
    </row>
    <row r="93" spans="1:9" ht="15.75" thickBot="1">
      <c r="A93" s="756"/>
      <c r="B93" s="872"/>
      <c r="C93" s="129" t="s">
        <v>173</v>
      </c>
      <c r="D93" s="335" t="str">
        <f>IF(E93='Parametre - Agendové IS'!BM14,"OK","Chyba počtu podaní")</f>
        <v>OK</v>
      </c>
      <c r="E93" s="336">
        <f t="shared" si="2"/>
        <v>0</v>
      </c>
      <c r="F93" s="192"/>
      <c r="G93" s="192"/>
      <c r="H93" s="192"/>
      <c r="I93" s="192"/>
    </row>
    <row r="94" spans="1:9">
      <c r="A94" s="754" t="s">
        <v>116</v>
      </c>
      <c r="B94" s="870" t="s">
        <v>213</v>
      </c>
      <c r="C94" s="131" t="s">
        <v>164</v>
      </c>
      <c r="D94" s="334" t="str">
        <f>IF(E94='Parametre - Agendové IS'!BM126,"OK","Chyba")</f>
        <v>OK</v>
      </c>
      <c r="E94" s="339">
        <f t="shared" si="2"/>
        <v>0</v>
      </c>
      <c r="F94" s="191"/>
      <c r="G94" s="191"/>
      <c r="H94" s="191"/>
      <c r="I94" s="191"/>
    </row>
    <row r="95" spans="1:9">
      <c r="A95" s="869"/>
      <c r="B95" s="871"/>
      <c r="C95" s="128" t="s">
        <v>165</v>
      </c>
      <c r="D95" s="335" t="str">
        <f>IF(E95='Parametre - Agendové IS'!BM127,"OK","Chyba")</f>
        <v>OK</v>
      </c>
      <c r="E95" s="336">
        <f t="shared" si="2"/>
        <v>0</v>
      </c>
      <c r="F95" s="192"/>
      <c r="G95" s="192"/>
      <c r="H95" s="192"/>
      <c r="I95" s="192"/>
    </row>
    <row r="96" spans="1:9">
      <c r="A96" s="869"/>
      <c r="B96" s="871"/>
      <c r="C96" s="128" t="s">
        <v>166</v>
      </c>
      <c r="D96" s="335" t="str">
        <f>IF(E96='Parametre - Agendové IS'!BM128,"OK","Chyba")</f>
        <v>OK</v>
      </c>
      <c r="E96" s="336">
        <f t="shared" si="2"/>
        <v>0</v>
      </c>
      <c r="F96" s="192"/>
      <c r="G96" s="192"/>
      <c r="H96" s="192"/>
      <c r="I96" s="192"/>
    </row>
    <row r="97" spans="1:9">
      <c r="A97" s="869"/>
      <c r="B97" s="871"/>
      <c r="C97" s="128" t="s">
        <v>167</v>
      </c>
      <c r="D97" s="335" t="str">
        <f>IF(E97='Parametre - Agendové IS'!BM129,"OK","Chyba")</f>
        <v>OK</v>
      </c>
      <c r="E97" s="336">
        <f t="shared" si="2"/>
        <v>0</v>
      </c>
      <c r="F97" s="192"/>
      <c r="G97" s="192"/>
      <c r="H97" s="192"/>
      <c r="I97" s="192"/>
    </row>
    <row r="98" spans="1:9">
      <c r="A98" s="869"/>
      <c r="B98" s="871"/>
      <c r="C98" s="128" t="s">
        <v>168</v>
      </c>
      <c r="D98" s="335" t="str">
        <f>IF(E98='Parametre - Agendové IS'!BM130,"OK","Chyba")</f>
        <v>OK</v>
      </c>
      <c r="E98" s="336">
        <f t="shared" si="2"/>
        <v>0</v>
      </c>
      <c r="F98" s="192"/>
      <c r="G98" s="192"/>
      <c r="H98" s="192"/>
      <c r="I98" s="192"/>
    </row>
    <row r="99" spans="1:9">
      <c r="A99" s="869"/>
      <c r="B99" s="871"/>
      <c r="C99" s="128" t="s">
        <v>169</v>
      </c>
      <c r="D99" s="335" t="str">
        <f>IF(E99='Parametre - Agendové IS'!BM131,"OK","Chyba")</f>
        <v>OK</v>
      </c>
      <c r="E99" s="336">
        <f t="shared" si="2"/>
        <v>0</v>
      </c>
      <c r="F99" s="192"/>
      <c r="G99" s="192"/>
      <c r="H99" s="192"/>
      <c r="I99" s="192"/>
    </row>
    <row r="100" spans="1:9">
      <c r="A100" s="869"/>
      <c r="B100" s="871"/>
      <c r="C100" s="128" t="s">
        <v>170</v>
      </c>
      <c r="D100" s="335" t="str">
        <f>IF(E100='Parametre - Agendové IS'!BM132,"OK","Chyba")</f>
        <v>OK</v>
      </c>
      <c r="E100" s="336">
        <f t="shared" si="2"/>
        <v>0</v>
      </c>
      <c r="F100" s="192"/>
      <c r="G100" s="192"/>
      <c r="H100" s="192"/>
      <c r="I100" s="192"/>
    </row>
    <row r="101" spans="1:9">
      <c r="A101" s="869"/>
      <c r="B101" s="871"/>
      <c r="C101" s="128" t="s">
        <v>171</v>
      </c>
      <c r="D101" s="335" t="str">
        <f>IF(E101='Parametre - Agendové IS'!BM133,"OK","Chyba")</f>
        <v>OK</v>
      </c>
      <c r="E101" s="336">
        <f t="shared" si="2"/>
        <v>0</v>
      </c>
      <c r="F101" s="192"/>
      <c r="G101" s="192"/>
      <c r="H101" s="192"/>
      <c r="I101" s="192"/>
    </row>
    <row r="102" spans="1:9">
      <c r="A102" s="869"/>
      <c r="B102" s="871"/>
      <c r="C102" s="128" t="s">
        <v>172</v>
      </c>
      <c r="D102" s="335" t="str">
        <f>IF(E102='Parametre - Agendové IS'!BM134,"OK","Chyba")</f>
        <v>OK</v>
      </c>
      <c r="E102" s="336">
        <f t="shared" si="2"/>
        <v>0</v>
      </c>
      <c r="F102" s="192"/>
      <c r="G102" s="192"/>
      <c r="H102" s="192"/>
      <c r="I102" s="192"/>
    </row>
    <row r="103" spans="1:9" ht="15.75" thickBot="1">
      <c r="A103" s="756"/>
      <c r="B103" s="872"/>
      <c r="C103" s="129" t="s">
        <v>173</v>
      </c>
      <c r="D103" s="335" t="str">
        <f>IF(E103='Parametre - Agendové IS'!BM135,"OK","Chyba")</f>
        <v>OK</v>
      </c>
      <c r="E103" s="336">
        <f t="shared" si="2"/>
        <v>0</v>
      </c>
      <c r="F103" s="192"/>
      <c r="G103" s="192"/>
      <c r="H103" s="192"/>
      <c r="I103" s="192"/>
    </row>
    <row r="106" spans="1:9" ht="15.75" thickBot="1"/>
    <row r="107" spans="1:9">
      <c r="A107" s="873">
        <f>'Parametre - Agendové IS'!BO2</f>
        <v>0</v>
      </c>
      <c r="B107" s="874"/>
      <c r="C107" s="875"/>
      <c r="D107" s="879" t="s">
        <v>97</v>
      </c>
      <c r="E107" s="880"/>
      <c r="F107" s="233" t="s">
        <v>1604</v>
      </c>
      <c r="G107" s="233" t="s">
        <v>1605</v>
      </c>
      <c r="H107" s="233" t="s">
        <v>1606</v>
      </c>
      <c r="I107" s="233" t="s">
        <v>1607</v>
      </c>
    </row>
    <row r="108" spans="1:9" ht="15.75" thickBot="1">
      <c r="A108" s="876"/>
      <c r="B108" s="877"/>
      <c r="C108" s="878"/>
      <c r="D108" s="331" t="s">
        <v>1608</v>
      </c>
      <c r="E108" s="332" t="s">
        <v>162</v>
      </c>
      <c r="F108" s="130" t="s">
        <v>162</v>
      </c>
      <c r="G108" s="130" t="s">
        <v>162</v>
      </c>
      <c r="H108" s="130" t="s">
        <v>162</v>
      </c>
      <c r="I108" s="130" t="s">
        <v>162</v>
      </c>
    </row>
    <row r="109" spans="1:9">
      <c r="A109" s="754" t="s">
        <v>1609</v>
      </c>
      <c r="B109" s="870" t="s">
        <v>220</v>
      </c>
      <c r="C109" s="131" t="s">
        <v>164</v>
      </c>
      <c r="D109" s="333" t="str">
        <f>IF(E109='Parametre - Agendové IS'!BP86,"OK","Chyba počtu FTE")</f>
        <v>OK</v>
      </c>
      <c r="E109" s="334">
        <f t="shared" ref="E109:E138" si="3">F109+G109+H109+I109</f>
        <v>0</v>
      </c>
      <c r="F109" s="191"/>
      <c r="G109" s="191"/>
      <c r="H109" s="191"/>
      <c r="I109" s="191"/>
    </row>
    <row r="110" spans="1:9">
      <c r="A110" s="869"/>
      <c r="B110" s="871"/>
      <c r="C110" s="128" t="s">
        <v>165</v>
      </c>
      <c r="D110" s="335" t="str">
        <f>IF(E110='Parametre - Agendové IS'!BP87,"OK","Chyba počtu FTE")</f>
        <v>OK</v>
      </c>
      <c r="E110" s="336">
        <f t="shared" si="3"/>
        <v>0</v>
      </c>
      <c r="F110" s="192"/>
      <c r="G110" s="192"/>
      <c r="H110" s="192"/>
      <c r="I110" s="192"/>
    </row>
    <row r="111" spans="1:9">
      <c r="A111" s="869"/>
      <c r="B111" s="871"/>
      <c r="C111" s="128" t="s">
        <v>166</v>
      </c>
      <c r="D111" s="335" t="str">
        <f>IF(E111='Parametre - Agendové IS'!BP88,"OK","Chyba počtu FTE")</f>
        <v>OK</v>
      </c>
      <c r="E111" s="336">
        <f t="shared" si="3"/>
        <v>0</v>
      </c>
      <c r="F111" s="192"/>
      <c r="G111" s="192"/>
      <c r="H111" s="192"/>
      <c r="I111" s="192"/>
    </row>
    <row r="112" spans="1:9">
      <c r="A112" s="869"/>
      <c r="B112" s="871"/>
      <c r="C112" s="128" t="s">
        <v>167</v>
      </c>
      <c r="D112" s="335" t="str">
        <f>IF(E112='Parametre - Agendové IS'!BP89,"OK","Chyba počtu FTE")</f>
        <v>OK</v>
      </c>
      <c r="E112" s="336">
        <f t="shared" si="3"/>
        <v>0</v>
      </c>
      <c r="F112" s="192"/>
      <c r="G112" s="192"/>
      <c r="H112" s="192"/>
      <c r="I112" s="192"/>
    </row>
    <row r="113" spans="1:9">
      <c r="A113" s="869"/>
      <c r="B113" s="871"/>
      <c r="C113" s="128" t="s">
        <v>168</v>
      </c>
      <c r="D113" s="335" t="str">
        <f>IF(E113='Parametre - Agendové IS'!BP90,"OK","Chyba počtu FTE")</f>
        <v>OK</v>
      </c>
      <c r="E113" s="336">
        <f t="shared" si="3"/>
        <v>0</v>
      </c>
      <c r="F113" s="192"/>
      <c r="G113" s="192"/>
      <c r="H113" s="192"/>
      <c r="I113" s="192"/>
    </row>
    <row r="114" spans="1:9">
      <c r="A114" s="869"/>
      <c r="B114" s="871"/>
      <c r="C114" s="128" t="s">
        <v>169</v>
      </c>
      <c r="D114" s="335" t="str">
        <f>IF(E114='Parametre - Agendové IS'!BP91,"OK","Chyba počtu FTE")</f>
        <v>OK</v>
      </c>
      <c r="E114" s="336">
        <f t="shared" si="3"/>
        <v>0</v>
      </c>
      <c r="F114" s="192"/>
      <c r="G114" s="192"/>
      <c r="H114" s="192"/>
      <c r="I114" s="192"/>
    </row>
    <row r="115" spans="1:9">
      <c r="A115" s="869"/>
      <c r="B115" s="871"/>
      <c r="C115" s="128" t="s">
        <v>170</v>
      </c>
      <c r="D115" s="335" t="str">
        <f>IF(E115='Parametre - Agendové IS'!BP92,"OK","Chyba počtu FTE")</f>
        <v>OK</v>
      </c>
      <c r="E115" s="336">
        <f t="shared" si="3"/>
        <v>0</v>
      </c>
      <c r="F115" s="192"/>
      <c r="G115" s="192"/>
      <c r="H115" s="192"/>
      <c r="I115" s="192"/>
    </row>
    <row r="116" spans="1:9">
      <c r="A116" s="869"/>
      <c r="B116" s="871"/>
      <c r="C116" s="128" t="s">
        <v>171</v>
      </c>
      <c r="D116" s="335" t="str">
        <f>IF(E116='Parametre - Agendové IS'!BP93,"OK","Chyba počtu FTE")</f>
        <v>OK</v>
      </c>
      <c r="E116" s="336">
        <f t="shared" si="3"/>
        <v>0</v>
      </c>
      <c r="F116" s="192"/>
      <c r="G116" s="192"/>
      <c r="H116" s="192"/>
      <c r="I116" s="192"/>
    </row>
    <row r="117" spans="1:9">
      <c r="A117" s="869"/>
      <c r="B117" s="871"/>
      <c r="C117" s="128" t="s">
        <v>172</v>
      </c>
      <c r="D117" s="335" t="str">
        <f>IF(E117='Parametre - Agendové IS'!BP94,"OK","Chyba počtu FTE")</f>
        <v>OK</v>
      </c>
      <c r="E117" s="336">
        <f t="shared" si="3"/>
        <v>0</v>
      </c>
      <c r="F117" s="192"/>
      <c r="G117" s="192"/>
      <c r="H117" s="192"/>
      <c r="I117" s="192"/>
    </row>
    <row r="118" spans="1:9" ht="15.75" thickBot="1">
      <c r="A118" s="869"/>
      <c r="B118" s="871"/>
      <c r="C118" s="128" t="s">
        <v>173</v>
      </c>
      <c r="D118" s="337" t="str">
        <f>IF(E118='Parametre - Agendové IS'!BP95,"OK","Chyba počtu FTE")</f>
        <v>OK</v>
      </c>
      <c r="E118" s="338">
        <f t="shared" si="3"/>
        <v>0</v>
      </c>
      <c r="F118" s="193"/>
      <c r="G118" s="193"/>
      <c r="H118" s="193"/>
      <c r="I118" s="193"/>
    </row>
    <row r="119" spans="1:9">
      <c r="A119" s="754" t="s">
        <v>1610</v>
      </c>
      <c r="B119" s="870" t="s">
        <v>211</v>
      </c>
      <c r="C119" s="131" t="s">
        <v>164</v>
      </c>
      <c r="D119" s="334" t="str">
        <f>IF(E119='Parametre - Agendové IS'!BP5,"OK","Chyba počtu podaní")</f>
        <v>OK</v>
      </c>
      <c r="E119" s="339">
        <f t="shared" si="3"/>
        <v>0</v>
      </c>
      <c r="F119" s="191"/>
      <c r="G119" s="191"/>
      <c r="H119" s="191"/>
      <c r="I119" s="191"/>
    </row>
    <row r="120" spans="1:9">
      <c r="A120" s="869"/>
      <c r="B120" s="871"/>
      <c r="C120" s="128" t="s">
        <v>165</v>
      </c>
      <c r="D120" s="335" t="str">
        <f>IF(E120='Parametre - Agendové IS'!BP6,"OK","Chyba počtu podaní")</f>
        <v>OK</v>
      </c>
      <c r="E120" s="336">
        <f t="shared" si="3"/>
        <v>0</v>
      </c>
      <c r="F120" s="192"/>
      <c r="G120" s="192"/>
      <c r="H120" s="192"/>
      <c r="I120" s="192"/>
    </row>
    <row r="121" spans="1:9">
      <c r="A121" s="869"/>
      <c r="B121" s="871"/>
      <c r="C121" s="128" t="s">
        <v>166</v>
      </c>
      <c r="D121" s="335" t="str">
        <f>IF(E121='Parametre - Agendové IS'!BP7,"OK","Chyba počtu podaní")</f>
        <v>OK</v>
      </c>
      <c r="E121" s="336">
        <f t="shared" si="3"/>
        <v>0</v>
      </c>
      <c r="F121" s="192"/>
      <c r="G121" s="192"/>
      <c r="H121" s="192"/>
      <c r="I121" s="192"/>
    </row>
    <row r="122" spans="1:9">
      <c r="A122" s="869"/>
      <c r="B122" s="871"/>
      <c r="C122" s="128" t="s">
        <v>167</v>
      </c>
      <c r="D122" s="335" t="str">
        <f>IF(E122='Parametre - Agendové IS'!BP8,"OK","Chyba počtu podaní")</f>
        <v>OK</v>
      </c>
      <c r="E122" s="336">
        <f t="shared" si="3"/>
        <v>0</v>
      </c>
      <c r="F122" s="192"/>
      <c r="G122" s="192"/>
      <c r="H122" s="192"/>
      <c r="I122" s="192"/>
    </row>
    <row r="123" spans="1:9">
      <c r="A123" s="869"/>
      <c r="B123" s="871"/>
      <c r="C123" s="128" t="s">
        <v>168</v>
      </c>
      <c r="D123" s="335" t="str">
        <f>IF(E123='Parametre - Agendové IS'!BP9,"OK","Chyba počtu podaní")</f>
        <v>OK</v>
      </c>
      <c r="E123" s="336">
        <f t="shared" si="3"/>
        <v>0</v>
      </c>
      <c r="F123" s="192"/>
      <c r="G123" s="192"/>
      <c r="H123" s="192"/>
      <c r="I123" s="192"/>
    </row>
    <row r="124" spans="1:9">
      <c r="A124" s="869"/>
      <c r="B124" s="871"/>
      <c r="C124" s="128" t="s">
        <v>169</v>
      </c>
      <c r="D124" s="335" t="str">
        <f>IF(E124='Parametre - Agendové IS'!BP10,"OK","Chyba počtu podaní")</f>
        <v>OK</v>
      </c>
      <c r="E124" s="336">
        <f t="shared" si="3"/>
        <v>0</v>
      </c>
      <c r="F124" s="192"/>
      <c r="G124" s="192"/>
      <c r="H124" s="192"/>
      <c r="I124" s="192"/>
    </row>
    <row r="125" spans="1:9">
      <c r="A125" s="869"/>
      <c r="B125" s="871"/>
      <c r="C125" s="128" t="s">
        <v>170</v>
      </c>
      <c r="D125" s="335" t="str">
        <f>IF(E125='Parametre - Agendové IS'!BP11,"OK","Chyba počtu podaní")</f>
        <v>OK</v>
      </c>
      <c r="E125" s="336">
        <f t="shared" si="3"/>
        <v>0</v>
      </c>
      <c r="F125" s="192"/>
      <c r="G125" s="192"/>
      <c r="H125" s="192"/>
      <c r="I125" s="192"/>
    </row>
    <row r="126" spans="1:9">
      <c r="A126" s="869"/>
      <c r="B126" s="871"/>
      <c r="C126" s="128" t="s">
        <v>171</v>
      </c>
      <c r="D126" s="335" t="str">
        <f>IF(E126='Parametre - Agendové IS'!BP12,"OK","Chyba počtu podaní")</f>
        <v>OK</v>
      </c>
      <c r="E126" s="336">
        <f t="shared" si="3"/>
        <v>0</v>
      </c>
      <c r="F126" s="192"/>
      <c r="G126" s="192"/>
      <c r="H126" s="192"/>
      <c r="I126" s="192"/>
    </row>
    <row r="127" spans="1:9">
      <c r="A127" s="869"/>
      <c r="B127" s="871"/>
      <c r="C127" s="128" t="s">
        <v>172</v>
      </c>
      <c r="D127" s="335" t="str">
        <f>IF(E127='Parametre - Agendové IS'!BP13,"OK","Chyba počtu podaní")</f>
        <v>OK</v>
      </c>
      <c r="E127" s="336">
        <f t="shared" si="3"/>
        <v>0</v>
      </c>
      <c r="F127" s="192"/>
      <c r="G127" s="192"/>
      <c r="H127" s="192"/>
      <c r="I127" s="192"/>
    </row>
    <row r="128" spans="1:9" ht="15.75" thickBot="1">
      <c r="A128" s="756"/>
      <c r="B128" s="872"/>
      <c r="C128" s="129" t="s">
        <v>173</v>
      </c>
      <c r="D128" s="335" t="str">
        <f>IF(E128='Parametre - Agendové IS'!BP14,"OK","Chyba počtu podaní")</f>
        <v>OK</v>
      </c>
      <c r="E128" s="336">
        <f t="shared" si="3"/>
        <v>0</v>
      </c>
      <c r="F128" s="192"/>
      <c r="G128" s="192"/>
      <c r="H128" s="192"/>
      <c r="I128" s="192"/>
    </row>
    <row r="129" spans="1:9">
      <c r="A129" s="754" t="s">
        <v>116</v>
      </c>
      <c r="B129" s="870" t="s">
        <v>213</v>
      </c>
      <c r="C129" s="131" t="s">
        <v>164</v>
      </c>
      <c r="D129" s="334" t="str">
        <f>IF(E129='Parametre - Agendové IS'!BP126,"OK","Chyba")</f>
        <v>OK</v>
      </c>
      <c r="E129" s="339">
        <f t="shared" si="3"/>
        <v>0</v>
      </c>
      <c r="F129" s="191"/>
      <c r="G129" s="191"/>
      <c r="H129" s="191"/>
      <c r="I129" s="191"/>
    </row>
    <row r="130" spans="1:9">
      <c r="A130" s="869"/>
      <c r="B130" s="871"/>
      <c r="C130" s="128" t="s">
        <v>165</v>
      </c>
      <c r="D130" s="335" t="str">
        <f>IF(E130='Parametre - Agendové IS'!BP127,"OK","Chyba")</f>
        <v>OK</v>
      </c>
      <c r="E130" s="336">
        <f t="shared" si="3"/>
        <v>0</v>
      </c>
      <c r="F130" s="192"/>
      <c r="G130" s="192"/>
      <c r="H130" s="192"/>
      <c r="I130" s="192"/>
    </row>
    <row r="131" spans="1:9">
      <c r="A131" s="869"/>
      <c r="B131" s="871"/>
      <c r="C131" s="128" t="s">
        <v>166</v>
      </c>
      <c r="D131" s="335" t="str">
        <f>IF(E131='Parametre - Agendové IS'!BP128,"OK","Chyba")</f>
        <v>OK</v>
      </c>
      <c r="E131" s="336">
        <f t="shared" si="3"/>
        <v>0</v>
      </c>
      <c r="F131" s="192"/>
      <c r="G131" s="192"/>
      <c r="H131" s="192"/>
      <c r="I131" s="192"/>
    </row>
    <row r="132" spans="1:9">
      <c r="A132" s="869"/>
      <c r="B132" s="871"/>
      <c r="C132" s="128" t="s">
        <v>167</v>
      </c>
      <c r="D132" s="335" t="str">
        <f>IF(E132='Parametre - Agendové IS'!BP129,"OK","Chyba")</f>
        <v>OK</v>
      </c>
      <c r="E132" s="336">
        <f t="shared" si="3"/>
        <v>0</v>
      </c>
      <c r="F132" s="192"/>
      <c r="G132" s="192"/>
      <c r="H132" s="192"/>
      <c r="I132" s="192"/>
    </row>
    <row r="133" spans="1:9">
      <c r="A133" s="869"/>
      <c r="B133" s="871"/>
      <c r="C133" s="128" t="s">
        <v>168</v>
      </c>
      <c r="D133" s="335" t="str">
        <f>IF(E133='Parametre - Agendové IS'!BP130,"OK","Chyba")</f>
        <v>OK</v>
      </c>
      <c r="E133" s="336">
        <f t="shared" si="3"/>
        <v>0</v>
      </c>
      <c r="F133" s="192"/>
      <c r="G133" s="192"/>
      <c r="H133" s="192"/>
      <c r="I133" s="192"/>
    </row>
    <row r="134" spans="1:9">
      <c r="A134" s="869"/>
      <c r="B134" s="871"/>
      <c r="C134" s="128" t="s">
        <v>169</v>
      </c>
      <c r="D134" s="335" t="str">
        <f>IF(E134='Parametre - Agendové IS'!BP131,"OK","Chyba")</f>
        <v>OK</v>
      </c>
      <c r="E134" s="336">
        <f t="shared" si="3"/>
        <v>0</v>
      </c>
      <c r="F134" s="192"/>
      <c r="G134" s="192"/>
      <c r="H134" s="192"/>
      <c r="I134" s="192"/>
    </row>
    <row r="135" spans="1:9">
      <c r="A135" s="869"/>
      <c r="B135" s="871"/>
      <c r="C135" s="128" t="s">
        <v>170</v>
      </c>
      <c r="D135" s="335" t="str">
        <f>IF(E135='Parametre - Agendové IS'!BP132,"OK","Chyba")</f>
        <v>OK</v>
      </c>
      <c r="E135" s="336">
        <f t="shared" si="3"/>
        <v>0</v>
      </c>
      <c r="F135" s="192"/>
      <c r="G135" s="192"/>
      <c r="H135" s="192"/>
      <c r="I135" s="192"/>
    </row>
    <row r="136" spans="1:9">
      <c r="A136" s="869"/>
      <c r="B136" s="871"/>
      <c r="C136" s="128" t="s">
        <v>171</v>
      </c>
      <c r="D136" s="335" t="str">
        <f>IF(E136='Parametre - Agendové IS'!BP133,"OK","Chyba")</f>
        <v>OK</v>
      </c>
      <c r="E136" s="336">
        <f t="shared" si="3"/>
        <v>0</v>
      </c>
      <c r="F136" s="192"/>
      <c r="G136" s="192"/>
      <c r="H136" s="192"/>
      <c r="I136" s="192"/>
    </row>
    <row r="137" spans="1:9">
      <c r="A137" s="869"/>
      <c r="B137" s="871"/>
      <c r="C137" s="128" t="s">
        <v>172</v>
      </c>
      <c r="D137" s="335" t="str">
        <f>IF(E137='Parametre - Agendové IS'!BP134,"OK","Chyba")</f>
        <v>OK</v>
      </c>
      <c r="E137" s="336">
        <f t="shared" si="3"/>
        <v>0</v>
      </c>
      <c r="F137" s="192"/>
      <c r="G137" s="192"/>
      <c r="H137" s="192"/>
      <c r="I137" s="192"/>
    </row>
    <row r="138" spans="1:9" ht="15.75" thickBot="1">
      <c r="A138" s="756"/>
      <c r="B138" s="872"/>
      <c r="C138" s="129" t="s">
        <v>173</v>
      </c>
      <c r="D138" s="335" t="str">
        <f>IF(E138='Parametre - Agendové IS'!BP135,"OK","Chyba")</f>
        <v>OK</v>
      </c>
      <c r="E138" s="336">
        <f t="shared" si="3"/>
        <v>0</v>
      </c>
      <c r="F138" s="192"/>
      <c r="G138" s="192"/>
      <c r="H138" s="192"/>
      <c r="I138" s="192"/>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zoomScale="130" zoomScaleNormal="130" workbookViewId="0">
      <pane xSplit="6" ySplit="2" topLeftCell="G3" activePane="bottomRight" state="frozen"/>
      <selection pane="topRight" activeCell="G1" sqref="G1"/>
      <selection pane="bottomLeft" activeCell="A3" sqref="A3"/>
      <selection pane="bottomRight" activeCell="I11" sqref="I11"/>
    </sheetView>
  </sheetViews>
  <sheetFormatPr defaultColWidth="8.85546875" defaultRowHeight="12.75"/>
  <cols>
    <col min="1" max="1" width="15.28515625" style="514" bestFit="1" customWidth="1"/>
    <col min="2" max="2" width="19.28515625" style="514" bestFit="1" customWidth="1"/>
    <col min="3" max="4" width="12.85546875" style="514" customWidth="1"/>
    <col min="5" max="5" width="12.7109375" style="514" bestFit="1" customWidth="1"/>
    <col min="6" max="6" width="6.7109375" style="514" customWidth="1"/>
    <col min="7" max="7" width="13.140625" style="514" customWidth="1"/>
    <col min="8" max="8" width="11.7109375" style="514" customWidth="1"/>
    <col min="9" max="13" width="8.42578125" style="514" customWidth="1"/>
    <col min="14" max="14" width="10.42578125" style="514" customWidth="1"/>
    <col min="15" max="15" width="13.7109375" style="514" customWidth="1"/>
    <col min="16" max="16" width="12.42578125" style="514" customWidth="1"/>
    <col min="17" max="17" width="13.7109375" style="514" customWidth="1"/>
    <col min="18" max="19" width="12.42578125" style="514" customWidth="1"/>
    <col min="20" max="20" width="13.7109375" style="514" customWidth="1"/>
    <col min="21" max="22" width="13.42578125" style="514" customWidth="1"/>
    <col min="23" max="16384" width="8.85546875" style="514"/>
  </cols>
  <sheetData>
    <row r="1" spans="1:22" s="508" customFormat="1" ht="14.45" customHeight="1">
      <c r="A1" s="711" t="s">
        <v>120</v>
      </c>
      <c r="B1" s="711" t="s">
        <v>121</v>
      </c>
      <c r="C1" s="711" t="s">
        <v>122</v>
      </c>
      <c r="D1" s="719" t="s">
        <v>123</v>
      </c>
      <c r="E1" s="715" t="s">
        <v>124</v>
      </c>
      <c r="F1" s="716"/>
      <c r="G1" s="711" t="s">
        <v>122</v>
      </c>
      <c r="H1" s="712" t="s">
        <v>125</v>
      </c>
      <c r="I1" s="713"/>
      <c r="J1" s="713"/>
      <c r="K1" s="713"/>
      <c r="L1" s="714"/>
      <c r="M1" s="663"/>
      <c r="N1" s="663"/>
      <c r="O1" s="708" t="s">
        <v>126</v>
      </c>
      <c r="P1" s="708"/>
      <c r="Q1" s="708"/>
      <c r="R1" s="708"/>
      <c r="S1" s="708"/>
      <c r="T1" s="708"/>
      <c r="U1" s="706" t="s">
        <v>127</v>
      </c>
      <c r="V1" s="707"/>
    </row>
    <row r="2" spans="1:22" s="508" customFormat="1" ht="38.25">
      <c r="A2" s="711"/>
      <c r="B2" s="711"/>
      <c r="C2" s="711"/>
      <c r="D2" s="720"/>
      <c r="E2" s="717"/>
      <c r="F2" s="718"/>
      <c r="G2" s="711"/>
      <c r="H2" s="662" t="s">
        <v>128</v>
      </c>
      <c r="I2" s="509" t="s">
        <v>129</v>
      </c>
      <c r="J2" s="509" t="s">
        <v>130</v>
      </c>
      <c r="K2" s="509" t="s">
        <v>131</v>
      </c>
      <c r="L2" s="509" t="s">
        <v>132</v>
      </c>
      <c r="M2" s="509" t="s">
        <v>133</v>
      </c>
      <c r="N2" s="509" t="s">
        <v>134</v>
      </c>
      <c r="O2" s="509" t="s">
        <v>129</v>
      </c>
      <c r="P2" s="509" t="s">
        <v>135</v>
      </c>
      <c r="Q2" s="509" t="s">
        <v>130</v>
      </c>
      <c r="R2" s="509" t="s">
        <v>135</v>
      </c>
      <c r="S2" s="509" t="s">
        <v>131</v>
      </c>
      <c r="T2" s="509" t="s">
        <v>132</v>
      </c>
      <c r="U2" s="509" t="s">
        <v>129</v>
      </c>
      <c r="V2" s="509" t="s">
        <v>130</v>
      </c>
    </row>
    <row r="3" spans="1:22">
      <c r="A3" s="721" t="s">
        <v>136</v>
      </c>
      <c r="B3" s="721" t="s">
        <v>137</v>
      </c>
      <c r="C3" s="724">
        <f>'TCO TO BE- SW'!E36</f>
        <v>22058714.549999997</v>
      </c>
      <c r="D3" s="661" t="s">
        <v>138</v>
      </c>
      <c r="E3" s="709" t="s">
        <v>139</v>
      </c>
      <c r="F3" s="710"/>
      <c r="G3" s="511">
        <f>SUM('TCO TO BE- SW'!F47:F56,'TCO TO BE- SW'!F67:F76)</f>
        <v>0</v>
      </c>
      <c r="H3" s="512" t="str">
        <f t="shared" ref="H3:H21" si="0">IF(SUM(I3:L3)=0,"",SUM(I3:L3))</f>
        <v/>
      </c>
      <c r="I3" s="621"/>
      <c r="J3" s="621"/>
      <c r="K3" s="621"/>
      <c r="L3" s="621"/>
      <c r="M3" s="621"/>
      <c r="N3" s="621"/>
      <c r="O3" s="513">
        <f>$G3*I3</f>
        <v>0</v>
      </c>
      <c r="P3" s="625"/>
      <c r="Q3" s="513">
        <f t="shared" ref="Q3:Q21" si="1">$G3*J3</f>
        <v>0</v>
      </c>
      <c r="R3" s="625"/>
      <c r="S3" s="513">
        <f>$G3*K3</f>
        <v>0</v>
      </c>
      <c r="T3" s="513">
        <f>$G3*L3</f>
        <v>0</v>
      </c>
      <c r="U3" s="512">
        <f>IFERROR(P3/O3,0)</f>
        <v>0</v>
      </c>
      <c r="V3" s="512">
        <f>IFERROR(R3/Q3,0)</f>
        <v>0</v>
      </c>
    </row>
    <row r="4" spans="1:22">
      <c r="A4" s="722"/>
      <c r="B4" s="722"/>
      <c r="C4" s="724"/>
      <c r="D4" s="661" t="s">
        <v>140</v>
      </c>
      <c r="E4" s="709" t="s">
        <v>139</v>
      </c>
      <c r="F4" s="710"/>
      <c r="G4" s="511">
        <f>SUM('TCO TO BE- SW'!E37:E46)</f>
        <v>19631012.789999999</v>
      </c>
      <c r="H4" s="512">
        <f>IF(SUM(I4:L4)=0,"",SUM(I4:L4))</f>
        <v>1</v>
      </c>
      <c r="I4" s="621"/>
      <c r="J4" s="621"/>
      <c r="K4" s="621"/>
      <c r="L4" s="621">
        <v>1</v>
      </c>
      <c r="M4" s="621"/>
      <c r="N4" s="621"/>
      <c r="O4" s="513">
        <f t="shared" ref="O4:O21" si="2">$G4*I4</f>
        <v>0</v>
      </c>
      <c r="P4" s="625"/>
      <c r="Q4" s="513">
        <f t="shared" si="1"/>
        <v>0</v>
      </c>
      <c r="R4" s="625">
        <v>20237326</v>
      </c>
      <c r="S4" s="513">
        <f t="shared" ref="S4:S21" si="3">$G4*K4</f>
        <v>0</v>
      </c>
      <c r="T4" s="513">
        <f t="shared" ref="T4:T21" si="4">$G4*L4</f>
        <v>19631012.789999999</v>
      </c>
      <c r="U4" s="512">
        <f t="shared" ref="U4:U21" si="5">IFERROR(P4/O4,0)</f>
        <v>0</v>
      </c>
      <c r="V4" s="512">
        <f t="shared" ref="V4:V21" si="6">IFERROR(R4/Q4,0)</f>
        <v>0</v>
      </c>
    </row>
    <row r="5" spans="1:22">
      <c r="A5" s="722"/>
      <c r="B5" s="723"/>
      <c r="C5" s="724"/>
      <c r="D5" s="661" t="s">
        <v>138</v>
      </c>
      <c r="E5" s="709" t="s">
        <v>141</v>
      </c>
      <c r="F5" s="710"/>
      <c r="G5" s="511">
        <f>SUM('TCO TO BE- SW'!E57:E66)</f>
        <v>2427701.7600000002</v>
      </c>
      <c r="H5" s="512">
        <f t="shared" si="0"/>
        <v>1</v>
      </c>
      <c r="I5" s="621"/>
      <c r="J5" s="621"/>
      <c r="K5" s="621">
        <v>1</v>
      </c>
      <c r="L5" s="621"/>
      <c r="M5" s="621"/>
      <c r="N5" s="621"/>
      <c r="O5" s="513">
        <f t="shared" si="2"/>
        <v>0</v>
      </c>
      <c r="P5" s="625">
        <v>988195</v>
      </c>
      <c r="Q5" s="513">
        <f t="shared" si="1"/>
        <v>0</v>
      </c>
      <c r="R5" s="625"/>
      <c r="S5" s="513">
        <f t="shared" si="3"/>
        <v>2427701.7600000002</v>
      </c>
      <c r="T5" s="513">
        <f t="shared" si="4"/>
        <v>0</v>
      </c>
      <c r="U5" s="512">
        <f t="shared" si="5"/>
        <v>0</v>
      </c>
      <c r="V5" s="512">
        <f t="shared" si="6"/>
        <v>0</v>
      </c>
    </row>
    <row r="6" spans="1:22">
      <c r="A6" s="722"/>
      <c r="B6" s="721" t="s">
        <v>142</v>
      </c>
      <c r="C6" s="724">
        <f>'TCO TO BE - HW'!E4+'TCO TO BE- SW'!E5</f>
        <v>0</v>
      </c>
      <c r="D6" s="661" t="s">
        <v>138</v>
      </c>
      <c r="E6" s="709" t="s">
        <v>139</v>
      </c>
      <c r="F6" s="710"/>
      <c r="G6" s="511">
        <f>SUM('TCO TO BE- SW'!E26:E35)+SUM('TCO TO BE - HW'!E15:E34)+SUM('TCO TO BE - HW'!E45:E54)</f>
        <v>0</v>
      </c>
      <c r="H6" s="512" t="str">
        <f t="shared" si="0"/>
        <v/>
      </c>
      <c r="I6" s="621"/>
      <c r="J6" s="621"/>
      <c r="K6" s="621"/>
      <c r="L6" s="621"/>
      <c r="M6" s="621"/>
      <c r="N6" s="621"/>
      <c r="O6" s="513">
        <f t="shared" si="2"/>
        <v>0</v>
      </c>
      <c r="P6" s="625"/>
      <c r="Q6" s="513">
        <f t="shared" si="1"/>
        <v>0</v>
      </c>
      <c r="R6" s="625"/>
      <c r="S6" s="513">
        <f t="shared" si="3"/>
        <v>0</v>
      </c>
      <c r="T6" s="513">
        <f t="shared" si="4"/>
        <v>0</v>
      </c>
      <c r="U6" s="512">
        <f t="shared" si="5"/>
        <v>0</v>
      </c>
      <c r="V6" s="512">
        <f t="shared" si="6"/>
        <v>0</v>
      </c>
    </row>
    <row r="7" spans="1:22">
      <c r="A7" s="722"/>
      <c r="B7" s="722"/>
      <c r="C7" s="724"/>
      <c r="D7" s="661" t="s">
        <v>140</v>
      </c>
      <c r="E7" s="709" t="s">
        <v>139</v>
      </c>
      <c r="F7" s="710"/>
      <c r="G7" s="511">
        <f>SUM('TCO TO BE- SW'!E6:E15)+SUM('TCO TO BE - HW'!E5:E14)</f>
        <v>0</v>
      </c>
      <c r="H7" s="512" t="str">
        <f t="shared" si="0"/>
        <v/>
      </c>
      <c r="I7" s="621"/>
      <c r="J7" s="621"/>
      <c r="K7" s="621"/>
      <c r="L7" s="621"/>
      <c r="M7" s="621"/>
      <c r="N7" s="621"/>
      <c r="O7" s="513">
        <f t="shared" si="2"/>
        <v>0</v>
      </c>
      <c r="P7" s="625"/>
      <c r="Q7" s="513">
        <f t="shared" si="1"/>
        <v>0</v>
      </c>
      <c r="R7" s="625"/>
      <c r="S7" s="513">
        <f t="shared" si="3"/>
        <v>0</v>
      </c>
      <c r="T7" s="513">
        <f t="shared" si="4"/>
        <v>0</v>
      </c>
      <c r="U7" s="512">
        <f t="shared" si="5"/>
        <v>0</v>
      </c>
      <c r="V7" s="512">
        <f t="shared" si="6"/>
        <v>0</v>
      </c>
    </row>
    <row r="8" spans="1:22">
      <c r="A8" s="723"/>
      <c r="B8" s="723"/>
      <c r="C8" s="724"/>
      <c r="D8" s="661" t="s">
        <v>138</v>
      </c>
      <c r="E8" s="709" t="s">
        <v>141</v>
      </c>
      <c r="F8" s="710"/>
      <c r="G8" s="511">
        <f>SUM('TCO TO BE- SW'!E16:E25)+SUM('TCO TO BE - HW'!E35:E44)</f>
        <v>0</v>
      </c>
      <c r="H8" s="512" t="str">
        <f t="shared" si="0"/>
        <v/>
      </c>
      <c r="I8" s="621"/>
      <c r="J8" s="621"/>
      <c r="K8" s="621"/>
      <c r="L8" s="621"/>
      <c r="M8" s="621"/>
      <c r="N8" s="621"/>
      <c r="O8" s="513">
        <f t="shared" si="2"/>
        <v>0</v>
      </c>
      <c r="P8" s="625"/>
      <c r="Q8" s="513">
        <f t="shared" si="1"/>
        <v>0</v>
      </c>
      <c r="R8" s="625"/>
      <c r="S8" s="513">
        <f t="shared" si="3"/>
        <v>0</v>
      </c>
      <c r="T8" s="513">
        <f t="shared" si="4"/>
        <v>0</v>
      </c>
      <c r="U8" s="512">
        <f t="shared" si="5"/>
        <v>0</v>
      </c>
      <c r="V8" s="512">
        <f t="shared" si="6"/>
        <v>0</v>
      </c>
    </row>
    <row r="9" spans="1:22">
      <c r="A9" s="721" t="s">
        <v>143</v>
      </c>
      <c r="B9" s="721" t="s">
        <v>101</v>
      </c>
      <c r="C9" s="724">
        <f>'TCO TO BE- SW'!E99</f>
        <v>45731743.805664584</v>
      </c>
      <c r="D9" s="661" t="s">
        <v>138</v>
      </c>
      <c r="E9" s="709" t="s">
        <v>139</v>
      </c>
      <c r="F9" s="710"/>
      <c r="G9" s="511">
        <f>SUM('TCO TO BE- SW'!E100:E119,'TCO TO BE- SW'!E140:E149)</f>
        <v>19599318.773856252</v>
      </c>
      <c r="H9" s="512">
        <f t="shared" si="0"/>
        <v>1</v>
      </c>
      <c r="I9" s="621">
        <v>1</v>
      </c>
      <c r="J9" s="621"/>
      <c r="K9" s="621"/>
      <c r="L9" s="621"/>
      <c r="M9" s="621"/>
      <c r="N9" s="621"/>
      <c r="O9" s="513">
        <f t="shared" si="2"/>
        <v>19599318.773856252</v>
      </c>
      <c r="P9" s="625"/>
      <c r="Q9" s="513">
        <f t="shared" si="1"/>
        <v>0</v>
      </c>
      <c r="R9" s="625">
        <v>14035607</v>
      </c>
      <c r="S9" s="513">
        <f t="shared" si="3"/>
        <v>0</v>
      </c>
      <c r="T9" s="513">
        <f t="shared" si="4"/>
        <v>0</v>
      </c>
      <c r="U9" s="512">
        <f t="shared" si="5"/>
        <v>0</v>
      </c>
      <c r="V9" s="512">
        <f t="shared" si="6"/>
        <v>0</v>
      </c>
    </row>
    <row r="10" spans="1:22">
      <c r="A10" s="722"/>
      <c r="B10" s="722"/>
      <c r="C10" s="724"/>
      <c r="D10" s="661" t="s">
        <v>140</v>
      </c>
      <c r="E10" s="709" t="s">
        <v>139</v>
      </c>
      <c r="F10" s="710"/>
      <c r="G10" s="511">
        <f>SUM('TCO TO BE- SW'!E120:E129)</f>
        <v>26132425.031808339</v>
      </c>
      <c r="H10" s="512">
        <f t="shared" si="0"/>
        <v>1</v>
      </c>
      <c r="I10" s="621">
        <v>1</v>
      </c>
      <c r="J10" s="621"/>
      <c r="K10" s="621"/>
      <c r="L10" s="621"/>
      <c r="M10" s="621"/>
      <c r="N10" s="621"/>
      <c r="O10" s="513">
        <f t="shared" si="2"/>
        <v>26132425.031808339</v>
      </c>
      <c r="P10" s="625"/>
      <c r="Q10" s="513">
        <f t="shared" si="1"/>
        <v>0</v>
      </c>
      <c r="R10" s="625">
        <v>14035607</v>
      </c>
      <c r="S10" s="513">
        <f t="shared" si="3"/>
        <v>0</v>
      </c>
      <c r="T10" s="513">
        <f t="shared" si="4"/>
        <v>0</v>
      </c>
      <c r="U10" s="512">
        <f t="shared" si="5"/>
        <v>0</v>
      </c>
      <c r="V10" s="512">
        <f t="shared" si="6"/>
        <v>0</v>
      </c>
    </row>
    <row r="11" spans="1:22">
      <c r="A11" s="722"/>
      <c r="B11" s="723"/>
      <c r="C11" s="724"/>
      <c r="D11" s="661" t="s">
        <v>138</v>
      </c>
      <c r="E11" s="709" t="s">
        <v>141</v>
      </c>
      <c r="F11" s="710"/>
      <c r="G11" s="511">
        <f>SUM('TCO TO BE- SW'!E130:E139)</f>
        <v>0</v>
      </c>
      <c r="H11" s="512" t="str">
        <f t="shared" si="0"/>
        <v/>
      </c>
      <c r="I11" s="621"/>
      <c r="J11" s="621"/>
      <c r="K11" s="621"/>
      <c r="L11" s="621"/>
      <c r="M11" s="621"/>
      <c r="N11" s="621"/>
      <c r="O11" s="513">
        <f t="shared" si="2"/>
        <v>0</v>
      </c>
      <c r="P11" s="625"/>
      <c r="Q11" s="513">
        <f t="shared" si="1"/>
        <v>0</v>
      </c>
      <c r="R11" s="625"/>
      <c r="S11" s="513">
        <f t="shared" si="3"/>
        <v>0</v>
      </c>
      <c r="T11" s="513">
        <f t="shared" si="4"/>
        <v>0</v>
      </c>
      <c r="U11" s="512">
        <f t="shared" si="5"/>
        <v>0</v>
      </c>
      <c r="V11" s="512">
        <f t="shared" si="6"/>
        <v>0</v>
      </c>
    </row>
    <row r="12" spans="1:22">
      <c r="A12" s="722"/>
      <c r="B12" s="721" t="s">
        <v>144</v>
      </c>
      <c r="C12" s="724">
        <f>'TCO TO BE - HW'!E55+'TCO TO BE- SW'!E78</f>
        <v>0</v>
      </c>
      <c r="D12" s="661" t="s">
        <v>138</v>
      </c>
      <c r="E12" s="709" t="s">
        <v>139</v>
      </c>
      <c r="F12" s="710"/>
      <c r="G12" s="511">
        <f>SUM('TCO TO BE- SW'!E79:E88)+SUM('TCO TO BE - HW'!E56:E65,'TCO TO BE - HW'!E76:E85,'TCO TO BE - HW'!E96:E105)</f>
        <v>0</v>
      </c>
      <c r="H12" s="512" t="str">
        <f t="shared" si="0"/>
        <v/>
      </c>
      <c r="I12" s="621"/>
      <c r="J12" s="621"/>
      <c r="K12" s="621"/>
      <c r="L12" s="621"/>
      <c r="M12" s="621"/>
      <c r="N12" s="621"/>
      <c r="O12" s="513">
        <f t="shared" si="2"/>
        <v>0</v>
      </c>
      <c r="P12" s="625"/>
      <c r="Q12" s="513">
        <f t="shared" si="1"/>
        <v>0</v>
      </c>
      <c r="R12" s="625"/>
      <c r="S12" s="513">
        <f t="shared" si="3"/>
        <v>0</v>
      </c>
      <c r="T12" s="513">
        <f t="shared" si="4"/>
        <v>0</v>
      </c>
      <c r="U12" s="512">
        <f t="shared" si="5"/>
        <v>0</v>
      </c>
      <c r="V12" s="512">
        <f t="shared" si="6"/>
        <v>0</v>
      </c>
    </row>
    <row r="13" spans="1:22">
      <c r="A13" s="722"/>
      <c r="B13" s="722"/>
      <c r="C13" s="724"/>
      <c r="D13" s="661" t="s">
        <v>140</v>
      </c>
      <c r="E13" s="709" t="s">
        <v>139</v>
      </c>
      <c r="F13" s="710"/>
      <c r="G13" s="511">
        <f>SUM('TCO TO BE- SW'!E89:E98)+SUM('TCO TO BE - HW'!E66:E75)</f>
        <v>0</v>
      </c>
      <c r="H13" s="512" t="str">
        <f t="shared" si="0"/>
        <v/>
      </c>
      <c r="I13" s="621"/>
      <c r="J13" s="621"/>
      <c r="K13" s="621"/>
      <c r="L13" s="621"/>
      <c r="M13" s="621"/>
      <c r="N13" s="621"/>
      <c r="O13" s="513">
        <f t="shared" si="2"/>
        <v>0</v>
      </c>
      <c r="P13" s="625"/>
      <c r="Q13" s="513">
        <f t="shared" si="1"/>
        <v>0</v>
      </c>
      <c r="R13" s="625"/>
      <c r="S13" s="513">
        <f t="shared" si="3"/>
        <v>0</v>
      </c>
      <c r="T13" s="513">
        <f t="shared" si="4"/>
        <v>0</v>
      </c>
      <c r="U13" s="512">
        <f t="shared" si="5"/>
        <v>0</v>
      </c>
      <c r="V13" s="512">
        <f t="shared" si="6"/>
        <v>0</v>
      </c>
    </row>
    <row r="14" spans="1:22">
      <c r="A14" s="723"/>
      <c r="B14" s="723"/>
      <c r="C14" s="724"/>
      <c r="D14" s="661" t="s">
        <v>138</v>
      </c>
      <c r="E14" s="709" t="s">
        <v>141</v>
      </c>
      <c r="F14" s="710"/>
      <c r="G14" s="511">
        <f>SUM('TCO TO BE - HW'!E86:E95)</f>
        <v>0</v>
      </c>
      <c r="H14" s="512" t="str">
        <f t="shared" si="0"/>
        <v/>
      </c>
      <c r="I14" s="621"/>
      <c r="J14" s="621"/>
      <c r="K14" s="621"/>
      <c r="L14" s="621"/>
      <c r="M14" s="621"/>
      <c r="N14" s="621"/>
      <c r="O14" s="513">
        <f t="shared" si="2"/>
        <v>0</v>
      </c>
      <c r="P14" s="625"/>
      <c r="Q14" s="513">
        <f t="shared" si="1"/>
        <v>0</v>
      </c>
      <c r="R14" s="625"/>
      <c r="S14" s="513">
        <f t="shared" si="3"/>
        <v>0</v>
      </c>
      <c r="T14" s="513">
        <f t="shared" si="4"/>
        <v>0</v>
      </c>
      <c r="U14" s="512">
        <f t="shared" si="5"/>
        <v>0</v>
      </c>
      <c r="V14" s="512">
        <f t="shared" si="6"/>
        <v>0</v>
      </c>
    </row>
    <row r="15" spans="1:22" ht="14.45" customHeight="1">
      <c r="A15" s="731" t="s">
        <v>145</v>
      </c>
      <c r="B15" s="721" t="s">
        <v>146</v>
      </c>
      <c r="C15" s="724">
        <f>SUM('TCO TO BE- SW'!E151:E160)</f>
        <v>326304</v>
      </c>
      <c r="D15" s="661" t="s">
        <v>138</v>
      </c>
      <c r="E15" s="709" t="s">
        <v>139</v>
      </c>
      <c r="F15" s="710"/>
      <c r="G15" s="513">
        <f>SUM(EXTERNE_POZICIE!M41:M52)</f>
        <v>0</v>
      </c>
      <c r="H15" s="512" t="str">
        <f t="shared" si="0"/>
        <v/>
      </c>
      <c r="I15" s="621"/>
      <c r="J15" s="621"/>
      <c r="K15" s="621"/>
      <c r="L15" s="621"/>
      <c r="M15" s="621"/>
      <c r="N15" s="621"/>
      <c r="O15" s="513">
        <f t="shared" si="2"/>
        <v>0</v>
      </c>
      <c r="P15" s="625"/>
      <c r="Q15" s="513">
        <f t="shared" si="1"/>
        <v>0</v>
      </c>
      <c r="R15" s="625"/>
      <c r="S15" s="513">
        <f t="shared" si="3"/>
        <v>0</v>
      </c>
      <c r="T15" s="513">
        <f t="shared" si="4"/>
        <v>0</v>
      </c>
      <c r="U15" s="512">
        <f t="shared" si="5"/>
        <v>0</v>
      </c>
      <c r="V15" s="512">
        <f t="shared" si="6"/>
        <v>0</v>
      </c>
    </row>
    <row r="16" spans="1:22">
      <c r="A16" s="732"/>
      <c r="B16" s="723"/>
      <c r="C16" s="724"/>
      <c r="D16" s="661" t="s">
        <v>138</v>
      </c>
      <c r="E16" s="709" t="s">
        <v>141</v>
      </c>
      <c r="F16" s="710"/>
      <c r="G16" s="511">
        <f>SUM(POZICIE_INTERNE!I41:I52)</f>
        <v>326304</v>
      </c>
      <c r="H16" s="512">
        <f t="shared" si="0"/>
        <v>1</v>
      </c>
      <c r="I16" s="621"/>
      <c r="J16" s="621"/>
      <c r="K16" s="621">
        <v>1</v>
      </c>
      <c r="L16" s="621"/>
      <c r="M16" s="621"/>
      <c r="N16" s="621"/>
      <c r="O16" s="513">
        <f t="shared" si="2"/>
        <v>0</v>
      </c>
      <c r="P16" s="625">
        <v>225158</v>
      </c>
      <c r="Q16" s="513">
        <f t="shared" si="1"/>
        <v>0</v>
      </c>
      <c r="R16" s="625"/>
      <c r="S16" s="513">
        <f t="shared" si="3"/>
        <v>326304</v>
      </c>
      <c r="T16" s="513">
        <f t="shared" si="4"/>
        <v>0</v>
      </c>
      <c r="U16" s="512">
        <f t="shared" si="5"/>
        <v>0</v>
      </c>
      <c r="V16" s="512">
        <f t="shared" si="6"/>
        <v>0</v>
      </c>
    </row>
    <row r="17" spans="1:22">
      <c r="A17" s="732"/>
      <c r="B17" s="721" t="s">
        <v>147</v>
      </c>
      <c r="C17" s="724">
        <f>SUM('TCO TO BE- SW'!E161:E170)</f>
        <v>0</v>
      </c>
      <c r="D17" s="661" t="s">
        <v>138</v>
      </c>
      <c r="E17" s="709" t="s">
        <v>139</v>
      </c>
      <c r="F17" s="710"/>
      <c r="G17" s="511">
        <f>SUM(EXTERNE_POZICIE!M53:M64)</f>
        <v>0</v>
      </c>
      <c r="H17" s="512" t="str">
        <f t="shared" si="0"/>
        <v/>
      </c>
      <c r="I17" s="621"/>
      <c r="J17" s="621"/>
      <c r="K17" s="621"/>
      <c r="L17" s="621"/>
      <c r="M17" s="621"/>
      <c r="N17" s="621"/>
      <c r="O17" s="513">
        <f t="shared" si="2"/>
        <v>0</v>
      </c>
      <c r="P17" s="625"/>
      <c r="Q17" s="513">
        <f t="shared" si="1"/>
        <v>0</v>
      </c>
      <c r="R17" s="625"/>
      <c r="S17" s="513">
        <f t="shared" si="3"/>
        <v>0</v>
      </c>
      <c r="T17" s="513">
        <f t="shared" si="4"/>
        <v>0</v>
      </c>
      <c r="U17" s="512">
        <f t="shared" si="5"/>
        <v>0</v>
      </c>
      <c r="V17" s="512">
        <f t="shared" si="6"/>
        <v>0</v>
      </c>
    </row>
    <row r="18" spans="1:22">
      <c r="A18" s="732"/>
      <c r="B18" s="723"/>
      <c r="C18" s="724"/>
      <c r="D18" s="661" t="s">
        <v>138</v>
      </c>
      <c r="E18" s="709" t="s">
        <v>141</v>
      </c>
      <c r="F18" s="710"/>
      <c r="G18" s="511">
        <f>SUM(POZICIE_INTERNE!I53:I63)</f>
        <v>0</v>
      </c>
      <c r="H18" s="512" t="str">
        <f t="shared" si="0"/>
        <v/>
      </c>
      <c r="I18" s="621"/>
      <c r="J18" s="621"/>
      <c r="K18" s="621"/>
      <c r="L18" s="621"/>
      <c r="M18" s="621"/>
      <c r="N18" s="621"/>
      <c r="O18" s="513">
        <f t="shared" si="2"/>
        <v>0</v>
      </c>
      <c r="P18" s="625"/>
      <c r="Q18" s="513">
        <f t="shared" si="1"/>
        <v>0</v>
      </c>
      <c r="R18" s="625"/>
      <c r="S18" s="513">
        <f t="shared" si="3"/>
        <v>0</v>
      </c>
      <c r="T18" s="513">
        <f t="shared" si="4"/>
        <v>0</v>
      </c>
      <c r="U18" s="512">
        <f t="shared" si="5"/>
        <v>0</v>
      </c>
      <c r="V18" s="512">
        <f t="shared" si="6"/>
        <v>0</v>
      </c>
    </row>
    <row r="19" spans="1:22">
      <c r="A19" s="733"/>
      <c r="B19" s="659" t="s">
        <v>148</v>
      </c>
      <c r="C19" s="660"/>
      <c r="D19" s="734" t="s">
        <v>149</v>
      </c>
      <c r="E19" s="735"/>
      <c r="F19" s="658"/>
      <c r="G19" s="511"/>
      <c r="H19" s="512"/>
      <c r="I19" s="621"/>
      <c r="J19" s="621"/>
      <c r="K19" s="621"/>
      <c r="L19" s="621"/>
      <c r="M19" s="621"/>
      <c r="N19" s="621"/>
      <c r="O19" s="513"/>
      <c r="P19" s="625"/>
      <c r="Q19" s="513"/>
      <c r="R19" s="625"/>
      <c r="S19" s="513"/>
      <c r="T19" s="513"/>
      <c r="U19" s="512"/>
      <c r="V19" s="512"/>
    </row>
    <row r="20" spans="1:22">
      <c r="A20" s="727" t="s">
        <v>106</v>
      </c>
      <c r="B20" s="728"/>
      <c r="C20" s="724">
        <f>'TCO TO BE- SW'!E171</f>
        <v>0</v>
      </c>
      <c r="D20" s="660"/>
      <c r="E20" s="510" t="s">
        <v>139</v>
      </c>
      <c r="F20" s="621"/>
      <c r="G20" s="511">
        <f>C20*F20</f>
        <v>0</v>
      </c>
      <c r="H20" s="512" t="str">
        <f t="shared" si="0"/>
        <v/>
      </c>
      <c r="I20" s="621"/>
      <c r="J20" s="621"/>
      <c r="K20" s="621"/>
      <c r="L20" s="621"/>
      <c r="M20" s="621"/>
      <c r="N20" s="621"/>
      <c r="O20" s="513">
        <f t="shared" si="2"/>
        <v>0</v>
      </c>
      <c r="P20" s="625"/>
      <c r="Q20" s="513">
        <f t="shared" si="1"/>
        <v>0</v>
      </c>
      <c r="R20" s="625"/>
      <c r="S20" s="513">
        <f t="shared" si="3"/>
        <v>0</v>
      </c>
      <c r="T20" s="513">
        <f t="shared" si="4"/>
        <v>0</v>
      </c>
      <c r="U20" s="512">
        <f t="shared" si="5"/>
        <v>0</v>
      </c>
      <c r="V20" s="512">
        <f t="shared" si="6"/>
        <v>0</v>
      </c>
    </row>
    <row r="21" spans="1:22">
      <c r="A21" s="729"/>
      <c r="B21" s="730"/>
      <c r="C21" s="724"/>
      <c r="D21" s="660"/>
      <c r="E21" s="510" t="s">
        <v>141</v>
      </c>
      <c r="F21" s="621"/>
      <c r="G21" s="511">
        <f>F21*C20</f>
        <v>0</v>
      </c>
      <c r="H21" s="512" t="str">
        <f t="shared" si="0"/>
        <v/>
      </c>
      <c r="I21" s="621"/>
      <c r="J21" s="621"/>
      <c r="K21" s="621"/>
      <c r="L21" s="621"/>
      <c r="M21" s="621"/>
      <c r="N21" s="621"/>
      <c r="O21" s="513">
        <f t="shared" si="2"/>
        <v>0</v>
      </c>
      <c r="P21" s="625"/>
      <c r="Q21" s="513">
        <f t="shared" si="1"/>
        <v>0</v>
      </c>
      <c r="R21" s="625"/>
      <c r="S21" s="513">
        <f t="shared" si="3"/>
        <v>0</v>
      </c>
      <c r="T21" s="513">
        <f t="shared" si="4"/>
        <v>0</v>
      </c>
      <c r="U21" s="512">
        <f t="shared" si="5"/>
        <v>0</v>
      </c>
      <c r="V21" s="512">
        <f t="shared" si="6"/>
        <v>0</v>
      </c>
    </row>
    <row r="22" spans="1:22">
      <c r="A22" s="725" t="s">
        <v>150</v>
      </c>
      <c r="B22" s="726"/>
      <c r="C22" s="515">
        <f>SUM(C3:C21)</f>
        <v>68116762.355664581</v>
      </c>
      <c r="D22" s="515"/>
      <c r="E22" s="510" t="s">
        <v>151</v>
      </c>
      <c r="F22" s="510"/>
      <c r="G22" s="511">
        <f>SUM(G3:G21)</f>
        <v>68116762.355664581</v>
      </c>
      <c r="H22" s="516"/>
      <c r="I22" s="517"/>
      <c r="J22" s="517"/>
      <c r="K22" s="517"/>
      <c r="L22" s="517"/>
      <c r="M22" s="517"/>
      <c r="N22" s="517"/>
      <c r="O22" s="511">
        <f t="shared" ref="O22:T22" si="7">SUM(O3:O21)</f>
        <v>45731743.805664591</v>
      </c>
      <c r="P22" s="511">
        <f>SUM(P3:P21)</f>
        <v>1213353</v>
      </c>
      <c r="Q22" s="511">
        <f t="shared" si="7"/>
        <v>0</v>
      </c>
      <c r="R22" s="511">
        <f>SUM(R3:R21)</f>
        <v>48308540</v>
      </c>
      <c r="S22" s="511">
        <f t="shared" si="7"/>
        <v>2754005.7600000002</v>
      </c>
      <c r="T22" s="511">
        <f t="shared" si="7"/>
        <v>19631012.789999999</v>
      </c>
      <c r="U22" s="626"/>
      <c r="V22" s="626"/>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638" priority="6">
      <formula>$C$22=$G$22</formula>
    </cfRule>
    <cfRule type="expression" dxfId="637" priority="7">
      <formula>$C$22&lt;&gt;$G$22</formula>
    </cfRule>
  </conditionalFormatting>
  <conditionalFormatting sqref="H3:H21">
    <cfRule type="expression" dxfId="636" priority="10">
      <formula>H3=1</formula>
    </cfRule>
    <cfRule type="expression" dxfId="635" priority="11">
      <formula>H3&lt;&gt;1</formula>
    </cfRule>
  </conditionalFormatting>
  <conditionalFormatting sqref="O22 Q22">
    <cfRule type="expression" dxfId="634" priority="8">
      <formula>SUM($O$22,$Q$22,$S$22,$T$22)=$G$22</formula>
    </cfRule>
    <cfRule type="expression" dxfId="633" priority="9">
      <formula>SUM($O$22,$Q$22,$S$22,$T$22)&lt;&gt;$G$22</formula>
    </cfRule>
  </conditionalFormatting>
  <conditionalFormatting sqref="S22:T22">
    <cfRule type="expression" dxfId="632" priority="1">
      <formula>SUM($O$22,$Q$22,$S$22,$T$22)=$G$22</formula>
    </cfRule>
    <cfRule type="expression" dxfId="631" priority="2">
      <formula>SUM($O$22,$Q$22,$S$22,$T$22)&lt;&gt;$G$22</formula>
    </cfRule>
  </conditionalFormatting>
  <conditionalFormatting sqref="U3:V21">
    <cfRule type="cellIs" dxfId="630"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212" zoomScaleNormal="100" workbookViewId="0">
      <selection activeCell="E12" sqref="E12"/>
    </sheetView>
  </sheetViews>
  <sheetFormatPr defaultColWidth="8.85546875" defaultRowHeight="15"/>
  <cols>
    <col min="1" max="1" width="9.28515625" customWidth="1"/>
    <col min="2" max="4" width="13.85546875" customWidth="1"/>
    <col min="5" max="7" width="13.7109375" customWidth="1"/>
    <col min="8" max="8" width="9.85546875" customWidth="1"/>
    <col min="9" max="9" width="15.28515625" customWidth="1"/>
    <col min="10" max="10" width="15.85546875" bestFit="1" customWidth="1"/>
    <col min="11" max="11" width="14.28515625" customWidth="1"/>
    <col min="12" max="12" width="23.140625" customWidth="1"/>
  </cols>
  <sheetData>
    <row r="1" spans="1:12" ht="15.75" thickBot="1">
      <c r="A1" s="9"/>
      <c r="B1" s="738" t="s">
        <v>152</v>
      </c>
      <c r="C1" s="739"/>
      <c r="D1" s="739"/>
      <c r="E1" s="739"/>
      <c r="F1" s="739"/>
      <c r="G1" s="740"/>
      <c r="H1" s="741" t="s">
        <v>153</v>
      </c>
      <c r="I1" s="742"/>
      <c r="J1" s="742"/>
      <c r="K1" s="742"/>
      <c r="L1" s="743"/>
    </row>
    <row r="2" spans="1:12" ht="30">
      <c r="A2" s="10"/>
      <c r="B2" s="741" t="s">
        <v>154</v>
      </c>
      <c r="C2" s="742"/>
      <c r="D2" s="743"/>
      <c r="E2" s="741" t="s">
        <v>155</v>
      </c>
      <c r="F2" s="742"/>
      <c r="G2" s="743"/>
      <c r="H2" s="50" t="s">
        <v>156</v>
      </c>
      <c r="I2" s="45" t="s">
        <v>157</v>
      </c>
      <c r="J2" s="12" t="s">
        <v>158</v>
      </c>
      <c r="K2" s="744" t="s">
        <v>159</v>
      </c>
      <c r="L2" s="745"/>
    </row>
    <row r="3" spans="1:12" ht="15.75" thickBot="1">
      <c r="A3" s="11" t="s">
        <v>160</v>
      </c>
      <c r="B3" s="14" t="s">
        <v>161</v>
      </c>
      <c r="C3" s="15" t="s">
        <v>162</v>
      </c>
      <c r="D3" s="16" t="s">
        <v>163</v>
      </c>
      <c r="E3" s="14" t="s">
        <v>161</v>
      </c>
      <c r="F3" s="15" t="s">
        <v>162</v>
      </c>
      <c r="G3" s="16" t="s">
        <v>163</v>
      </c>
      <c r="H3" s="51"/>
      <c r="I3" s="46"/>
      <c r="J3" s="13"/>
      <c r="K3" s="736"/>
      <c r="L3" s="737"/>
    </row>
    <row r="4" spans="1:12">
      <c r="A4" s="44" t="s">
        <v>164</v>
      </c>
      <c r="B4" s="26">
        <f>'Prínosy - Agendové IS'!V4-'Výdavky - Agendové IS'!U4</f>
        <v>0</v>
      </c>
      <c r="C4" s="25">
        <f>'Prínosy - Agendové IS'!W4-'Výdavky - Agendové IS'!V4</f>
        <v>-130521.60000000001</v>
      </c>
      <c r="D4" s="32">
        <f>C4-B4</f>
        <v>-130521.60000000001</v>
      </c>
      <c r="E4" s="26">
        <f>'Prínosy - Agendové IS'!Y4-('Výdavky - Agendové IS'!U4/1.23)</f>
        <v>0</v>
      </c>
      <c r="F4" s="26">
        <f>'Prínosy - Agendové IS'!Z4-('Výdavky - Agendové IS'!V4/1.23)</f>
        <v>-106115.12195121952</v>
      </c>
      <c r="G4" s="32">
        <f>F4-E4</f>
        <v>-106115.12195121952</v>
      </c>
      <c r="H4" s="52">
        <v>0</v>
      </c>
      <c r="I4" s="47">
        <f>D4*(1/(1+Faktory!$D$3)^H4)</f>
        <v>-130521.60000000001</v>
      </c>
      <c r="J4" s="54">
        <f>G4*(1/(1+Faktory!$D$5)^H4)</f>
        <v>-106115.12195121952</v>
      </c>
      <c r="K4" s="53">
        <f>J4</f>
        <v>-106115.12195121952</v>
      </c>
      <c r="L4" s="30" t="str">
        <f>IF(K4&gt;0,"Rok návratu investície","&lt;")</f>
        <v>&lt;</v>
      </c>
    </row>
    <row r="5" spans="1:12">
      <c r="A5" s="31" t="s">
        <v>165</v>
      </c>
      <c r="B5" s="26">
        <f>'Prínosy - Agendové IS'!V5-'Výdavky - Agendové IS'!U5</f>
        <v>0</v>
      </c>
      <c r="C5" s="25">
        <f>'Prínosy - Agendové IS'!W5-'Výdavky - Agendové IS'!V5</f>
        <v>-10775484.524262736</v>
      </c>
      <c r="D5" s="28">
        <f>C5-B5</f>
        <v>-10775484.524262736</v>
      </c>
      <c r="E5" s="26">
        <f>'Prínosy - Agendové IS'!Y5-('Výdavky - Agendové IS'!U5/1.23)</f>
        <v>0</v>
      </c>
      <c r="F5" s="26">
        <f>'Prínosy - Agendové IS'!Z5-('Výdavky - Agendové IS'!V5/1.23)</f>
        <v>-8760556.5237908419</v>
      </c>
      <c r="G5" s="28">
        <f>F5-E5</f>
        <v>-8760556.5237908419</v>
      </c>
      <c r="H5" s="52">
        <v>1</v>
      </c>
      <c r="I5" s="48">
        <f>D5*(1/(1+Faktory!$D$3)^H5)</f>
        <v>-10361042.81179109</v>
      </c>
      <c r="J5" s="55">
        <f>G5*(1/(1+Faktory!$D$5)^H5)</f>
        <v>-8343387.1655150875</v>
      </c>
      <c r="K5" s="53">
        <f>J5+K4</f>
        <v>-8449502.2874663062</v>
      </c>
      <c r="L5" s="30" t="str">
        <f>IF(L4="&lt;",IF(K5&gt;0,"Rok návratu investície","&lt;"),"&gt;")</f>
        <v>&lt;</v>
      </c>
    </row>
    <row r="6" spans="1:12">
      <c r="A6" s="31" t="s">
        <v>166</v>
      </c>
      <c r="B6" s="26">
        <f>'Prínosy - Agendové IS'!V6-'Výdavky - Agendové IS'!U6</f>
        <v>0</v>
      </c>
      <c r="C6" s="25">
        <f>'Prínosy - Agendové IS'!W6-'Výdavky - Agendové IS'!V6</f>
        <v>-18511993.984818723</v>
      </c>
      <c r="D6" s="28">
        <f t="shared" ref="D6:D13" si="0">C6-B6</f>
        <v>-18511993.984818723</v>
      </c>
      <c r="E6" s="26">
        <f>'Prínosy - Agendové IS'!Y6-('Výdavky - Agendové IS'!U6/1.23)</f>
        <v>0</v>
      </c>
      <c r="F6" s="26">
        <f>'Prínosy - Agendové IS'!Z6-('Výdavky - Agendové IS'!V6/1.23)</f>
        <v>-15050401.61367376</v>
      </c>
      <c r="G6" s="28">
        <f t="shared" ref="G6:G13" si="1">F6-E6</f>
        <v>-15050401.61367376</v>
      </c>
      <c r="H6" s="52">
        <v>2</v>
      </c>
      <c r="I6" s="48">
        <f>D6*(1/(1+Faktory!$D$3)^H6)</f>
        <v>-17115379.05401139</v>
      </c>
      <c r="J6" s="55">
        <f>G6*(1/(1+Faktory!$D$5)^H6)</f>
        <v>-13651157.926234702</v>
      </c>
      <c r="K6" s="53">
        <f t="shared" ref="K6:K13" si="2">J6+K5</f>
        <v>-22100660.21370101</v>
      </c>
      <c r="L6" s="30" t="str">
        <f t="shared" ref="L6:L13" si="3">IF(L5="&lt;",IF(K6&gt;0,"Rok návratu investície","&lt;"),"&gt;")</f>
        <v>&lt;</v>
      </c>
    </row>
    <row r="7" spans="1:12">
      <c r="A7" s="31" t="s">
        <v>167</v>
      </c>
      <c r="B7" s="26">
        <f>'Prínosy - Agendové IS'!V7-'Výdavky - Agendové IS'!U7</f>
        <v>0</v>
      </c>
      <c r="C7" s="25">
        <f>'Prínosy - Agendové IS'!W7-'Výdavky - Agendové IS'!V7</f>
        <v>-5528394.6066547334</v>
      </c>
      <c r="D7" s="28">
        <f t="shared" si="0"/>
        <v>-5528394.6066547334</v>
      </c>
      <c r="E7" s="26">
        <f>'Prínosy - Agendové IS'!Y7-('Výdavky - Agendové IS'!U7/1.23)</f>
        <v>0</v>
      </c>
      <c r="F7" s="26">
        <f>'Prínosy - Agendové IS'!Z7-('Výdavky - Agendové IS'!V7/1.23)</f>
        <v>-4494629.7615079135</v>
      </c>
      <c r="G7" s="28">
        <f t="shared" si="1"/>
        <v>-4494629.7615079135</v>
      </c>
      <c r="H7" s="52">
        <v>3</v>
      </c>
      <c r="I7" s="48">
        <f>D7*(1/(1+Faktory!$D$3)^H7)</f>
        <v>-4914722.6746119829</v>
      </c>
      <c r="J7" s="55">
        <f>G7*(1/(1+Faktory!$D$5)^H7)</f>
        <v>-3882630.1794690969</v>
      </c>
      <c r="K7" s="53">
        <f t="shared" si="2"/>
        <v>-25983290.393170107</v>
      </c>
      <c r="L7" s="30" t="str">
        <f t="shared" si="3"/>
        <v>&lt;</v>
      </c>
    </row>
    <row r="8" spans="1:12">
      <c r="A8" s="31" t="s">
        <v>168</v>
      </c>
      <c r="B8" s="26">
        <f>'Prínosy - Agendové IS'!V8-'Výdavky - Agendové IS'!U8</f>
        <v>0</v>
      </c>
      <c r="C8" s="25">
        <f>'Prínosy - Agendové IS'!W8-'Výdavky - Agendové IS'!V8</f>
        <v>-5528394.6066547334</v>
      </c>
      <c r="D8" s="28">
        <f t="shared" si="0"/>
        <v>-5528394.6066547334</v>
      </c>
      <c r="E8" s="26">
        <f>'Prínosy - Agendové IS'!Y8-('Výdavky - Agendové IS'!U8/1.23)</f>
        <v>0</v>
      </c>
      <c r="F8" s="26">
        <f>'Prínosy - Agendové IS'!Z8-('Výdavky - Agendové IS'!V8/1.23)</f>
        <v>-4494629.7615079135</v>
      </c>
      <c r="G8" s="28">
        <f t="shared" si="1"/>
        <v>-4494629.7615079135</v>
      </c>
      <c r="H8" s="52">
        <v>4</v>
      </c>
      <c r="I8" s="48">
        <f>D8*(1/(1+Faktory!$D$3)^H8)</f>
        <v>-4725694.8794345977</v>
      </c>
      <c r="J8" s="55">
        <f>G8*(1/(1+Faktory!$D$5)^H8)</f>
        <v>-3697743.0280658067</v>
      </c>
      <c r="K8" s="53">
        <f t="shared" si="2"/>
        <v>-29681033.421235915</v>
      </c>
      <c r="L8" s="30" t="str">
        <f t="shared" si="3"/>
        <v>&lt;</v>
      </c>
    </row>
    <row r="9" spans="1:12">
      <c r="A9" s="31" t="s">
        <v>169</v>
      </c>
      <c r="B9" s="26">
        <f>'Prínosy - Agendové IS'!V9-'Výdavky - Agendové IS'!U9</f>
        <v>0</v>
      </c>
      <c r="C9" s="25">
        <f>'Prínosy - Agendové IS'!W9-'Výdavky - Agendové IS'!V9</f>
        <v>-5528394.6066547334</v>
      </c>
      <c r="D9" s="28">
        <f t="shared" si="0"/>
        <v>-5528394.6066547334</v>
      </c>
      <c r="E9" s="26">
        <f>'Prínosy - Agendové IS'!Y9-('Výdavky - Agendové IS'!U9/1.23)</f>
        <v>0</v>
      </c>
      <c r="F9" s="26">
        <f>'Prínosy - Agendové IS'!Z9-('Výdavky - Agendové IS'!V9/1.23)</f>
        <v>-4494629.7615079135</v>
      </c>
      <c r="G9" s="28">
        <f t="shared" si="1"/>
        <v>-4494629.7615079135</v>
      </c>
      <c r="H9" s="52">
        <v>5</v>
      </c>
      <c r="I9" s="48">
        <f>D9*(1/(1+Faktory!$D$3)^H9)</f>
        <v>-4543937.3840717282</v>
      </c>
      <c r="J9" s="55">
        <f>G9*(1/(1+Faktory!$D$5)^H9)</f>
        <v>-3521660.0267293393</v>
      </c>
      <c r="K9" s="53">
        <f t="shared" si="2"/>
        <v>-33202693.447965253</v>
      </c>
      <c r="L9" s="30" t="str">
        <f t="shared" si="3"/>
        <v>&lt;</v>
      </c>
    </row>
    <row r="10" spans="1:12">
      <c r="A10" s="31" t="s">
        <v>170</v>
      </c>
      <c r="B10" s="26">
        <f>'Prínosy - Agendové IS'!V10-'Výdavky - Agendové IS'!U10</f>
        <v>0</v>
      </c>
      <c r="C10" s="25">
        <f>'Prínosy - Agendové IS'!W10-'Výdavky - Agendové IS'!V10</f>
        <v>-5528394.6066547334</v>
      </c>
      <c r="D10" s="28">
        <f t="shared" si="0"/>
        <v>-5528394.6066547334</v>
      </c>
      <c r="E10" s="26">
        <f>'Prínosy - Agendové IS'!Y10-('Výdavky - Agendové IS'!U10/1.23)</f>
        <v>0</v>
      </c>
      <c r="F10" s="26">
        <f>'Prínosy - Agendové IS'!Z10-('Výdavky - Agendové IS'!V10/1.23)</f>
        <v>-4494629.7615079135</v>
      </c>
      <c r="G10" s="28">
        <f t="shared" si="1"/>
        <v>-4494629.7615079135</v>
      </c>
      <c r="H10" s="52">
        <v>6</v>
      </c>
      <c r="I10" s="48">
        <f>D10*(1/(1+Faktory!$D$3)^H10)</f>
        <v>-4369170.5616074307</v>
      </c>
      <c r="J10" s="55">
        <f>G10*(1/(1+Faktory!$D$5)^H10)</f>
        <v>-3353961.9302184186</v>
      </c>
      <c r="K10" s="53">
        <f t="shared" si="2"/>
        <v>-36556655.37818367</v>
      </c>
      <c r="L10" s="30" t="str">
        <f t="shared" si="3"/>
        <v>&lt;</v>
      </c>
    </row>
    <row r="11" spans="1:12">
      <c r="A11" s="31" t="s">
        <v>171</v>
      </c>
      <c r="B11" s="26">
        <f>'Prínosy - Agendové IS'!V11-'Výdavky - Agendové IS'!U11</f>
        <v>0</v>
      </c>
      <c r="C11" s="25">
        <f>'Prínosy - Agendové IS'!W11-'Výdavky - Agendové IS'!V11</f>
        <v>-5528394.6066547334</v>
      </c>
      <c r="D11" s="28">
        <f t="shared" si="0"/>
        <v>-5528394.6066547334</v>
      </c>
      <c r="E11" s="26">
        <f>'Prínosy - Agendové IS'!Y11-('Výdavky - Agendové IS'!U11/1.23)</f>
        <v>0</v>
      </c>
      <c r="F11" s="26">
        <f>'Prínosy - Agendové IS'!Z11-('Výdavky - Agendové IS'!V11/1.23)</f>
        <v>-4494629.7615079135</v>
      </c>
      <c r="G11" s="28">
        <f t="shared" si="1"/>
        <v>-4494629.7615079135</v>
      </c>
      <c r="H11" s="52">
        <v>7</v>
      </c>
      <c r="I11" s="48">
        <f>D11*(1/(1+Faktory!$D$3)^H11)</f>
        <v>-4201125.5400071461</v>
      </c>
      <c r="J11" s="55">
        <f>G11*(1/(1+Faktory!$D$5)^H11)</f>
        <v>-3194249.4573508748</v>
      </c>
      <c r="K11" s="53">
        <f t="shared" si="2"/>
        <v>-39750904.835534543</v>
      </c>
      <c r="L11" s="30" t="str">
        <f t="shared" si="3"/>
        <v>&lt;</v>
      </c>
    </row>
    <row r="12" spans="1:12">
      <c r="A12" s="31" t="s">
        <v>172</v>
      </c>
      <c r="B12" s="26">
        <f>'Prínosy - Agendové IS'!V12-'Výdavky - Agendové IS'!U12</f>
        <v>0</v>
      </c>
      <c r="C12" s="25">
        <f>'Prínosy - Agendové IS'!W12-'Výdavky - Agendové IS'!V12</f>
        <v>-5528394.6066547334</v>
      </c>
      <c r="D12" s="28">
        <f t="shared" si="0"/>
        <v>-5528394.6066547334</v>
      </c>
      <c r="E12" s="26">
        <f>'Prínosy - Agendové IS'!Y12-('Výdavky - Agendové IS'!U12/1.23)</f>
        <v>0</v>
      </c>
      <c r="F12" s="26">
        <f>'Prínosy - Agendové IS'!Z12-('Výdavky - Agendové IS'!V12/1.23)</f>
        <v>-4494629.7615079135</v>
      </c>
      <c r="G12" s="28">
        <f t="shared" si="1"/>
        <v>-4494629.7615079135</v>
      </c>
      <c r="H12" s="52">
        <v>8</v>
      </c>
      <c r="I12" s="48">
        <f>D12*(1/(1+Faktory!$D$3)^H12)</f>
        <v>-4039543.7884684089</v>
      </c>
      <c r="J12" s="55">
        <f>G12*(1/(1+Faktory!$D$5)^H12)</f>
        <v>-3042142.3403341668</v>
      </c>
      <c r="K12" s="53">
        <f t="shared" si="2"/>
        <v>-42793047.175868712</v>
      </c>
      <c r="L12" s="30" t="str">
        <f t="shared" si="3"/>
        <v>&lt;</v>
      </c>
    </row>
    <row r="13" spans="1:12" ht="15.75" thickBot="1">
      <c r="A13" s="31" t="s">
        <v>173</v>
      </c>
      <c r="B13" s="43">
        <f>'Prínosy - Agendové IS'!V13-'Výdavky - Agendové IS'!U13</f>
        <v>0</v>
      </c>
      <c r="C13" s="39">
        <f>'Prínosy - Agendové IS'!W13-'Výdavky - Agendové IS'!V13</f>
        <v>-5528394.6066547334</v>
      </c>
      <c r="D13" s="33">
        <f t="shared" si="0"/>
        <v>-5528394.6066547334</v>
      </c>
      <c r="E13" s="26">
        <f>'Prínosy - Agendové IS'!Y13-('Výdavky - Agendové IS'!U13/1.23)</f>
        <v>0</v>
      </c>
      <c r="F13" s="26">
        <f>'Prínosy - Agendové IS'!Z13-('Výdavky - Agendové IS'!V13/1.23)</f>
        <v>-4494629.7615079135</v>
      </c>
      <c r="G13" s="33">
        <f t="shared" si="1"/>
        <v>-4494629.7615079135</v>
      </c>
      <c r="H13" s="52">
        <v>9</v>
      </c>
      <c r="I13" s="49">
        <f>D13*(1/(1+Faktory!$D$3)^H13)</f>
        <v>-3884176.7196811615</v>
      </c>
      <c r="J13" s="56">
        <f>G13*(1/(1+Faktory!$D$5)^H13)</f>
        <v>-2897278.4193658726</v>
      </c>
      <c r="K13" s="53">
        <f t="shared" si="2"/>
        <v>-45690325.595234588</v>
      </c>
      <c r="L13" s="30" t="str">
        <f t="shared" si="3"/>
        <v>&lt;</v>
      </c>
    </row>
    <row r="14" spans="1:12" ht="15.75" thickBot="1">
      <c r="A14" s="58" t="s">
        <v>150</v>
      </c>
      <c r="B14" s="40">
        <f t="shared" ref="B14:G14" si="4">SUM(B4:B13)</f>
        <v>0</v>
      </c>
      <c r="C14" s="41">
        <f t="shared" si="4"/>
        <v>-68116762.355664596</v>
      </c>
      <c r="D14" s="41">
        <f t="shared" si="4"/>
        <v>-68116762.355664596</v>
      </c>
      <c r="E14" s="41">
        <f t="shared" si="4"/>
        <v>0</v>
      </c>
      <c r="F14" s="41">
        <f t="shared" si="4"/>
        <v>-55379481.589971215</v>
      </c>
      <c r="G14" s="42">
        <f t="shared" si="4"/>
        <v>-55379481.589971215</v>
      </c>
      <c r="H14" s="59" t="s">
        <v>150</v>
      </c>
      <c r="I14" s="132">
        <f>SUM(I4:I13)</f>
        <v>-58285315.013684928</v>
      </c>
      <c r="J14" s="133">
        <f>SUM(J4:J13)</f>
        <v>-45690325.595234588</v>
      </c>
      <c r="K14" s="7"/>
      <c r="L14" s="7"/>
    </row>
    <row r="16" spans="1:12" ht="15.75" thickBot="1">
      <c r="H16" s="96" t="s">
        <v>174</v>
      </c>
      <c r="J16" s="143" t="s">
        <v>175</v>
      </c>
      <c r="K16" s="143" t="s">
        <v>176</v>
      </c>
    </row>
    <row r="17" spans="5:11" s="113" customFormat="1" ht="23.25" thickBot="1">
      <c r="H17" s="137" t="s">
        <v>177</v>
      </c>
      <c r="I17" s="139" t="s">
        <v>178</v>
      </c>
      <c r="J17" s="140">
        <f>'Prínosy - Agendové IS'!AA16/('Výdavky - Agendové IS'!V15)</f>
        <v>0</v>
      </c>
      <c r="K17" s="144">
        <v>1</v>
      </c>
    </row>
    <row r="18" spans="5:11" s="113" customFormat="1" ht="23.25" thickBot="1">
      <c r="H18" s="138" t="s">
        <v>179</v>
      </c>
      <c r="I18" s="139" t="s">
        <v>180</v>
      </c>
      <c r="J18" s="141" t="e">
        <f>IRR($D$4:$D$13,0.01)</f>
        <v>#NUM!</v>
      </c>
      <c r="K18" s="145" t="s">
        <v>181</v>
      </c>
    </row>
    <row r="19" spans="5:11" s="113" customFormat="1" ht="34.5" thickBot="1">
      <c r="E19" s="134"/>
      <c r="H19" s="138" t="s">
        <v>182</v>
      </c>
      <c r="I19" s="139" t="s">
        <v>183</v>
      </c>
      <c r="J19" s="141" t="e">
        <f>IRR($G$4:$G$13,0.01)</f>
        <v>#NUM!</v>
      </c>
      <c r="K19" s="145">
        <v>0.05</v>
      </c>
    </row>
    <row r="20" spans="5:11" ht="15.75" thickBot="1">
      <c r="H20" s="135"/>
      <c r="I20" s="136"/>
      <c r="J20" s="135"/>
      <c r="K20" s="146"/>
    </row>
    <row r="21" spans="5:11" s="113" customFormat="1" ht="34.5" thickBot="1">
      <c r="H21" s="138" t="s">
        <v>184</v>
      </c>
      <c r="I21" s="139" t="s">
        <v>185</v>
      </c>
      <c r="J21" s="142">
        <f>I14</f>
        <v>-58285315.013684928</v>
      </c>
      <c r="K21" s="147" t="s">
        <v>181</v>
      </c>
    </row>
    <row r="22" spans="5:11" s="113" customFormat="1" ht="34.5" thickBot="1">
      <c r="H22" s="138" t="s">
        <v>186</v>
      </c>
      <c r="I22" s="139" t="s">
        <v>187</v>
      </c>
      <c r="J22" s="142">
        <f>J14</f>
        <v>-45690325.595234588</v>
      </c>
      <c r="K22" s="147">
        <v>0</v>
      </c>
    </row>
  </sheetData>
  <mergeCells count="6">
    <mergeCell ref="K3:L3"/>
    <mergeCell ref="B1:G1"/>
    <mergeCell ref="H1:L1"/>
    <mergeCell ref="B2:D2"/>
    <mergeCell ref="E2:G2"/>
    <mergeCell ref="K2:L2"/>
  </mergeCells>
  <conditionalFormatting sqref="L4:L13">
    <cfRule type="cellIs" dxfId="629"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topLeftCell="R1" zoomScale="160" zoomScaleNormal="80" zoomScaleSheetLayoutView="160" workbookViewId="0">
      <selection activeCell="W19" sqref="W19"/>
    </sheetView>
  </sheetViews>
  <sheetFormatPr defaultColWidth="8.85546875" defaultRowHeight="15"/>
  <cols>
    <col min="2" max="2" width="4.42578125" bestFit="1" customWidth="1"/>
    <col min="3" max="3" width="14.28515625" customWidth="1"/>
    <col min="4" max="4" width="15.85546875" bestFit="1" customWidth="1"/>
    <col min="5" max="5" width="16.7109375" bestFit="1" customWidth="1"/>
    <col min="6" max="7" width="13.42578125" bestFit="1" customWidth="1"/>
    <col min="8" max="8" width="16.7109375" bestFit="1" customWidth="1"/>
    <col min="9" max="9" width="14.42578125" bestFit="1" customWidth="1"/>
    <col min="10" max="10" width="13.42578125" bestFit="1" customWidth="1"/>
    <col min="11" max="11" width="16.7109375" bestFit="1" customWidth="1"/>
    <col min="12" max="17" width="16.7109375" customWidth="1"/>
    <col min="18" max="18" width="13.42578125" bestFit="1" customWidth="1"/>
    <col min="19" max="19" width="15.85546875" bestFit="1" customWidth="1"/>
    <col min="20" max="20" width="15.28515625" customWidth="1"/>
    <col min="21" max="22" width="17" bestFit="1" customWidth="1"/>
    <col min="23" max="23" width="14.28515625" bestFit="1" customWidth="1"/>
  </cols>
  <sheetData>
    <row r="1" spans="1:24" ht="15.75" customHeight="1" thickBot="1">
      <c r="A1" s="650"/>
      <c r="B1" s="651"/>
      <c r="C1" s="752" t="s">
        <v>188</v>
      </c>
      <c r="D1" s="752"/>
      <c r="E1" s="752"/>
      <c r="F1" s="752"/>
      <c r="G1" s="752"/>
      <c r="H1" s="752"/>
      <c r="I1" s="752"/>
      <c r="J1" s="752"/>
      <c r="K1" s="752"/>
      <c r="L1" s="752"/>
      <c r="M1" s="752"/>
      <c r="N1" s="753"/>
      <c r="O1" s="751" t="s">
        <v>105</v>
      </c>
      <c r="P1" s="752"/>
      <c r="Q1" s="753"/>
      <c r="R1" s="750" t="s">
        <v>189</v>
      </c>
      <c r="S1" s="750"/>
      <c r="T1" s="750"/>
      <c r="U1" s="738" t="s">
        <v>190</v>
      </c>
      <c r="V1" s="739"/>
      <c r="W1" s="740"/>
    </row>
    <row r="2" spans="1:24" ht="15.75" customHeight="1" thickBot="1">
      <c r="A2" s="652"/>
      <c r="B2" s="646"/>
      <c r="C2" s="739" t="s">
        <v>103</v>
      </c>
      <c r="D2" s="739"/>
      <c r="E2" s="740"/>
      <c r="F2" s="739" t="s">
        <v>102</v>
      </c>
      <c r="G2" s="739"/>
      <c r="H2" s="740"/>
      <c r="I2" s="739" t="s">
        <v>101</v>
      </c>
      <c r="J2" s="739"/>
      <c r="K2" s="740"/>
      <c r="L2" s="739" t="s">
        <v>191</v>
      </c>
      <c r="M2" s="739"/>
      <c r="N2" s="740"/>
      <c r="O2" s="739"/>
      <c r="P2" s="739"/>
      <c r="Q2" s="740"/>
      <c r="R2" s="739" t="s">
        <v>99</v>
      </c>
      <c r="S2" s="739"/>
      <c r="T2" s="740"/>
      <c r="U2" s="8"/>
      <c r="V2" s="8"/>
      <c r="W2" s="35"/>
    </row>
    <row r="3" spans="1:24" ht="19.350000000000001" customHeight="1" thickBot="1">
      <c r="A3" s="36" t="s">
        <v>160</v>
      </c>
      <c r="B3" s="649" t="s">
        <v>192</v>
      </c>
      <c r="C3" s="37" t="s">
        <v>161</v>
      </c>
      <c r="D3" s="37" t="s">
        <v>162</v>
      </c>
      <c r="E3" s="38" t="s">
        <v>163</v>
      </c>
      <c r="F3" s="37" t="s">
        <v>161</v>
      </c>
      <c r="G3" s="37" t="s">
        <v>162</v>
      </c>
      <c r="H3" s="38" t="s">
        <v>163</v>
      </c>
      <c r="I3" s="37" t="s">
        <v>161</v>
      </c>
      <c r="J3" s="37" t="s">
        <v>162</v>
      </c>
      <c r="K3" s="38" t="s">
        <v>163</v>
      </c>
      <c r="L3" s="37" t="s">
        <v>161</v>
      </c>
      <c r="M3" s="37" t="s">
        <v>162</v>
      </c>
      <c r="N3" s="38" t="s">
        <v>163</v>
      </c>
      <c r="O3" s="37" t="s">
        <v>161</v>
      </c>
      <c r="P3" s="37" t="s">
        <v>162</v>
      </c>
      <c r="Q3" s="38" t="s">
        <v>163</v>
      </c>
      <c r="R3" s="37" t="s">
        <v>161</v>
      </c>
      <c r="S3" s="37" t="s">
        <v>162</v>
      </c>
      <c r="T3" s="38" t="s">
        <v>163</v>
      </c>
      <c r="U3" s="37" t="s">
        <v>161</v>
      </c>
      <c r="V3" s="37" t="s">
        <v>162</v>
      </c>
      <c r="W3" s="38" t="s">
        <v>163</v>
      </c>
    </row>
    <row r="4" spans="1:24">
      <c r="A4" s="24" t="s">
        <v>164</v>
      </c>
      <c r="B4" s="63">
        <v>1</v>
      </c>
      <c r="C4" s="26">
        <f>TCO!D26+TCO!D27</f>
        <v>0</v>
      </c>
      <c r="D4" s="25">
        <f>(TCO!D$12*(1+$X$5))+TCO!D$13</f>
        <v>0</v>
      </c>
      <c r="E4" s="32">
        <f>D4-C4</f>
        <v>0</v>
      </c>
      <c r="F4" s="26">
        <f>TCO!D22+TCO!D23</f>
        <v>0</v>
      </c>
      <c r="G4" s="25">
        <f>(TCO!D$7*(1+$X$5))+TCO!D$8</f>
        <v>0</v>
      </c>
      <c r="H4" s="32">
        <f>G4-F4</f>
        <v>0</v>
      </c>
      <c r="I4" s="25">
        <f>TCO!D24+TCO!D25</f>
        <v>0</v>
      </c>
      <c r="J4" s="25">
        <f>(TCO!D$9*(1+$X$5))+TCO!D$10</f>
        <v>0</v>
      </c>
      <c r="K4" s="32">
        <f>J4-I4</f>
        <v>0</v>
      </c>
      <c r="L4" s="26">
        <v>0</v>
      </c>
      <c r="M4" s="26">
        <f>TCO!D11</f>
        <v>0</v>
      </c>
      <c r="N4" s="32">
        <f>M4-L4</f>
        <v>0</v>
      </c>
      <c r="O4" s="26">
        <v>0</v>
      </c>
      <c r="P4" s="26">
        <f>TCO!D14</f>
        <v>130521.60000000001</v>
      </c>
      <c r="Q4" s="32">
        <f>P4-O4</f>
        <v>130521.60000000001</v>
      </c>
      <c r="R4" s="26">
        <f>'Parametre - Agendové IS'!D106</f>
        <v>0</v>
      </c>
      <c r="S4" s="26">
        <f>'Parametre - Agendové IS'!E106</f>
        <v>0</v>
      </c>
      <c r="T4" s="32">
        <f t="shared" ref="T4:T13" si="0">IF(ISERR(S4-R4),"-",S4-R4)</f>
        <v>0</v>
      </c>
      <c r="U4" s="25">
        <f>SUM(C4,F4,I4,L4,O4,R4)</f>
        <v>0</v>
      </c>
      <c r="V4" s="25">
        <f>((D4+G4+M4+P4+J4)*(1+$X$4))+S4</f>
        <v>130521.60000000001</v>
      </c>
      <c r="W4" s="32">
        <f>V4-U4</f>
        <v>130521.60000000001</v>
      </c>
      <c r="X4" s="161">
        <f>'Analyza citlivosti - AgendovéIS'!B7</f>
        <v>0</v>
      </c>
    </row>
    <row r="5" spans="1:24">
      <c r="A5" s="24" t="s">
        <v>165</v>
      </c>
      <c r="B5" s="64">
        <v>2</v>
      </c>
      <c r="C5" s="26">
        <f>TCO!E26+TCO!E27</f>
        <v>0</v>
      </c>
      <c r="D5" s="25">
        <f>(TCO!E$12*(1+$X$5))+TCO!E$13</f>
        <v>0</v>
      </c>
      <c r="E5" s="28">
        <f t="shared" ref="E5:E13" si="1">D5-C5</f>
        <v>0</v>
      </c>
      <c r="F5" s="26">
        <f>TCO!E22+TCO!E23</f>
        <v>0</v>
      </c>
      <c r="G5" s="25">
        <f>(TCO!E$7*(1+$X$5))+TCO!E$8</f>
        <v>0</v>
      </c>
      <c r="H5" s="28">
        <f t="shared" ref="H5:H13" si="2">G5-F5</f>
        <v>0</v>
      </c>
      <c r="I5" s="25">
        <f>TCO!E24+TCO!E25</f>
        <v>0</v>
      </c>
      <c r="J5" s="25">
        <f>(TCO!E$9*(1+$X$5))+TCO!E$10</f>
        <v>10644962.924262736</v>
      </c>
      <c r="K5" s="28">
        <f t="shared" ref="K5:K13" si="3">J5-I5</f>
        <v>10644962.924262736</v>
      </c>
      <c r="L5" s="26">
        <v>0</v>
      </c>
      <c r="M5" s="26">
        <f>TCO!E11</f>
        <v>0</v>
      </c>
      <c r="N5" s="28">
        <f t="shared" ref="N5:N13" si="4">M5-L5</f>
        <v>0</v>
      </c>
      <c r="O5" s="26">
        <v>0</v>
      </c>
      <c r="P5" s="26">
        <f>TCO!E14</f>
        <v>130521.60000000001</v>
      </c>
      <c r="Q5" s="28">
        <f t="shared" ref="Q5:Q13" si="5">P5-O5</f>
        <v>130521.60000000001</v>
      </c>
      <c r="R5" s="26">
        <f>'Parametre - Agendové IS'!D107</f>
        <v>0</v>
      </c>
      <c r="S5" s="26">
        <f>'Parametre - Agendové IS'!E107</f>
        <v>0</v>
      </c>
      <c r="T5" s="28">
        <f t="shared" si="0"/>
        <v>0</v>
      </c>
      <c r="U5" s="25">
        <f t="shared" ref="U5:U13" si="6">SUM(C5,F5,I5,L5,O5,R5)</f>
        <v>0</v>
      </c>
      <c r="V5" s="25">
        <f t="shared" ref="V5:V13" si="7">((D5+G5+M5+P5+J5)*(1+$X$4))+S5</f>
        <v>10775484.524262736</v>
      </c>
      <c r="W5" s="28">
        <f t="shared" ref="W5:W13" si="8">V5-U5</f>
        <v>10775484.524262736</v>
      </c>
      <c r="X5" s="161">
        <f>'Analyza citlivosti - AgendovéIS'!E7</f>
        <v>0</v>
      </c>
    </row>
    <row r="6" spans="1:24">
      <c r="A6" s="24" t="s">
        <v>166</v>
      </c>
      <c r="B6" s="64">
        <v>3</v>
      </c>
      <c r="C6" s="26">
        <f>TCO!F26+TCO!F27</f>
        <v>0</v>
      </c>
      <c r="D6" s="25">
        <f>(TCO!F$12*(1+$X$5))+TCO!F$13</f>
        <v>0</v>
      </c>
      <c r="E6" s="28">
        <f t="shared" si="1"/>
        <v>0</v>
      </c>
      <c r="F6" s="26">
        <f>TCO!F22+TCO!F23</f>
        <v>0</v>
      </c>
      <c r="G6" s="25">
        <f>(TCO!F$7*(1+$X$5))+TCO!F$8</f>
        <v>0</v>
      </c>
      <c r="H6" s="28">
        <f t="shared" si="2"/>
        <v>0</v>
      </c>
      <c r="I6" s="25">
        <f>TCO!F24+TCO!F25</f>
        <v>0</v>
      </c>
      <c r="J6" s="25">
        <f>(TCO!F$9*(1+$X$5))+TCO!F$10</f>
        <v>18446733.184818722</v>
      </c>
      <c r="K6" s="28">
        <f t="shared" si="3"/>
        <v>18446733.184818722</v>
      </c>
      <c r="L6" s="26">
        <v>0</v>
      </c>
      <c r="M6" s="26">
        <f>TCO!F11</f>
        <v>0</v>
      </c>
      <c r="N6" s="28">
        <f t="shared" si="4"/>
        <v>0</v>
      </c>
      <c r="O6" s="26">
        <v>0</v>
      </c>
      <c r="P6" s="26">
        <f>TCO!F14</f>
        <v>65260.800000000003</v>
      </c>
      <c r="Q6" s="28">
        <f t="shared" si="5"/>
        <v>65260.800000000003</v>
      </c>
      <c r="R6" s="26">
        <f>'Parametre - Agendové IS'!D108</f>
        <v>0</v>
      </c>
      <c r="S6" s="26">
        <f>'Parametre - Agendové IS'!E108</f>
        <v>0</v>
      </c>
      <c r="T6" s="28">
        <f t="shared" si="0"/>
        <v>0</v>
      </c>
      <c r="U6" s="25">
        <f t="shared" si="6"/>
        <v>0</v>
      </c>
      <c r="V6" s="25">
        <f t="shared" si="7"/>
        <v>18511993.984818723</v>
      </c>
      <c r="W6" s="28">
        <f t="shared" si="8"/>
        <v>18511993.984818723</v>
      </c>
    </row>
    <row r="7" spans="1:24">
      <c r="A7" s="24" t="s">
        <v>167</v>
      </c>
      <c r="B7" s="64">
        <v>4</v>
      </c>
      <c r="C7" s="26">
        <f>TCO!G26+TCO!G27</f>
        <v>0</v>
      </c>
      <c r="D7" s="25">
        <f>(TCO!G$12*(1+$X$5))+TCO!G$13</f>
        <v>0</v>
      </c>
      <c r="E7" s="28">
        <f t="shared" si="1"/>
        <v>0</v>
      </c>
      <c r="F7" s="26">
        <f>TCO!G22+TCO!G23</f>
        <v>0</v>
      </c>
      <c r="G7" s="25">
        <f>(TCO!G$7*(1+$X$5))+TCO!G$8</f>
        <v>0</v>
      </c>
      <c r="H7" s="28">
        <f t="shared" si="2"/>
        <v>0</v>
      </c>
      <c r="I7" s="25">
        <f>TCO!G24+TCO!G25</f>
        <v>0</v>
      </c>
      <c r="J7" s="25">
        <f>(TCO!G$9*(1+$X$5))+TCO!G$10</f>
        <v>5528394.6066547334</v>
      </c>
      <c r="K7" s="28">
        <f t="shared" si="3"/>
        <v>5528394.6066547334</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0</v>
      </c>
      <c r="V7" s="25">
        <f t="shared" si="7"/>
        <v>5528394.6066547334</v>
      </c>
      <c r="W7" s="28">
        <f t="shared" si="8"/>
        <v>5528394.6066547334</v>
      </c>
    </row>
    <row r="8" spans="1:24">
      <c r="A8" s="24" t="s">
        <v>168</v>
      </c>
      <c r="B8" s="64">
        <v>5</v>
      </c>
      <c r="C8" s="26">
        <f>TCO!H26+TCO!H27</f>
        <v>0</v>
      </c>
      <c r="D8" s="25">
        <f>(TCO!H$12*(1+$X$5))+TCO!H$13</f>
        <v>0</v>
      </c>
      <c r="E8" s="28">
        <f t="shared" si="1"/>
        <v>0</v>
      </c>
      <c r="F8" s="26">
        <f>TCO!H22+TCO!H23</f>
        <v>0</v>
      </c>
      <c r="G8" s="25">
        <f>(TCO!H$7*(1+$X$5))+TCO!H$8</f>
        <v>0</v>
      </c>
      <c r="H8" s="28">
        <f t="shared" si="2"/>
        <v>0</v>
      </c>
      <c r="I8" s="25">
        <f>TCO!H24+TCO!H25</f>
        <v>0</v>
      </c>
      <c r="J8" s="25">
        <f>(TCO!H$9*(1+$X$5))+TCO!H$10</f>
        <v>5528394.6066547334</v>
      </c>
      <c r="K8" s="28">
        <f t="shared" si="3"/>
        <v>5528394.6066547334</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5528394.6066547334</v>
      </c>
      <c r="W8" s="28">
        <f t="shared" si="8"/>
        <v>5528394.6066547334</v>
      </c>
    </row>
    <row r="9" spans="1:24">
      <c r="A9" s="24" t="s">
        <v>169</v>
      </c>
      <c r="B9" s="64">
        <v>6</v>
      </c>
      <c r="C9" s="26">
        <f>TCO!I26+TCO!I27</f>
        <v>0</v>
      </c>
      <c r="D9" s="25">
        <f>(TCO!I$12*(1+$X$5))+TCO!I$13</f>
        <v>0</v>
      </c>
      <c r="E9" s="28">
        <f t="shared" si="1"/>
        <v>0</v>
      </c>
      <c r="F9" s="26">
        <f>TCO!I22+TCO!I23</f>
        <v>0</v>
      </c>
      <c r="G9" s="25">
        <f>(TCO!I$7*(1+$X$5))+TCO!I$8</f>
        <v>0</v>
      </c>
      <c r="H9" s="28">
        <f t="shared" si="2"/>
        <v>0</v>
      </c>
      <c r="I9" s="25">
        <f>TCO!I24+TCO!I25</f>
        <v>0</v>
      </c>
      <c r="J9" s="25">
        <f>(TCO!I$9*(1+$X$5))+TCO!I$10</f>
        <v>5528394.6066547334</v>
      </c>
      <c r="K9" s="28">
        <f t="shared" si="3"/>
        <v>5528394.6066547334</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5528394.6066547334</v>
      </c>
      <c r="W9" s="28">
        <f t="shared" si="8"/>
        <v>5528394.6066547334</v>
      </c>
    </row>
    <row r="10" spans="1:24">
      <c r="A10" s="24" t="s">
        <v>170</v>
      </c>
      <c r="B10" s="64">
        <v>7</v>
      </c>
      <c r="C10" s="26">
        <f>TCO!J26+TCO!J27</f>
        <v>0</v>
      </c>
      <c r="D10" s="25">
        <f>(TCO!J$12*(1+$X$5))+TCO!J$13</f>
        <v>0</v>
      </c>
      <c r="E10" s="28">
        <f t="shared" si="1"/>
        <v>0</v>
      </c>
      <c r="F10" s="26">
        <f>TCO!J22+TCO!J23</f>
        <v>0</v>
      </c>
      <c r="G10" s="25">
        <f>(TCO!J$7*(1+$X$5))+TCO!J$8</f>
        <v>0</v>
      </c>
      <c r="H10" s="28">
        <f t="shared" si="2"/>
        <v>0</v>
      </c>
      <c r="I10" s="25">
        <f>TCO!J24+TCO!J25</f>
        <v>0</v>
      </c>
      <c r="J10" s="25">
        <f>(TCO!J$9*(1+$X$5))+TCO!J$10</f>
        <v>5528394.6066547334</v>
      </c>
      <c r="K10" s="28">
        <f t="shared" si="3"/>
        <v>5528394.6066547334</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5528394.6066547334</v>
      </c>
      <c r="W10" s="28">
        <f t="shared" si="8"/>
        <v>5528394.6066547334</v>
      </c>
    </row>
    <row r="11" spans="1:24">
      <c r="A11" s="24" t="s">
        <v>171</v>
      </c>
      <c r="B11" s="64">
        <v>8</v>
      </c>
      <c r="C11" s="26">
        <f>TCO!K26+TCO!K27</f>
        <v>0</v>
      </c>
      <c r="D11" s="25">
        <f>(TCO!K$12*(1+$X$5))+TCO!K$13</f>
        <v>0</v>
      </c>
      <c r="E11" s="28">
        <f t="shared" si="1"/>
        <v>0</v>
      </c>
      <c r="F11" s="26">
        <f>TCO!K22+TCO!K23</f>
        <v>0</v>
      </c>
      <c r="G11" s="25">
        <f>(TCO!K$7*(1+$X$5))+TCO!K$8</f>
        <v>0</v>
      </c>
      <c r="H11" s="28">
        <f t="shared" si="2"/>
        <v>0</v>
      </c>
      <c r="I11" s="25">
        <f>TCO!K24+TCO!K25</f>
        <v>0</v>
      </c>
      <c r="J11" s="25">
        <f>(TCO!K$9*(1+$X$5))+TCO!K$10</f>
        <v>5528394.6066547334</v>
      </c>
      <c r="K11" s="28">
        <f t="shared" si="3"/>
        <v>5528394.6066547334</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5528394.6066547334</v>
      </c>
      <c r="W11" s="28">
        <f t="shared" si="8"/>
        <v>5528394.6066547334</v>
      </c>
    </row>
    <row r="12" spans="1:24">
      <c r="A12" s="24" t="s">
        <v>172</v>
      </c>
      <c r="B12" s="64">
        <v>9</v>
      </c>
      <c r="C12" s="26">
        <f>TCO!L26+TCO!L27</f>
        <v>0</v>
      </c>
      <c r="D12" s="25">
        <f>(TCO!L$12*(1+$X$5))+TCO!L$13</f>
        <v>0</v>
      </c>
      <c r="E12" s="28">
        <f t="shared" si="1"/>
        <v>0</v>
      </c>
      <c r="F12" s="26">
        <f>TCO!L22+TCO!L23</f>
        <v>0</v>
      </c>
      <c r="G12" s="25">
        <f>(TCO!L$7*(1+$X$5))+TCO!L$8</f>
        <v>0</v>
      </c>
      <c r="H12" s="28">
        <f t="shared" si="2"/>
        <v>0</v>
      </c>
      <c r="I12" s="25">
        <f>TCO!L24+TCO!L25</f>
        <v>0</v>
      </c>
      <c r="J12" s="25">
        <f>(TCO!L$9*(1+$X$5))+TCO!L$10</f>
        <v>5528394.6066547334</v>
      </c>
      <c r="K12" s="28">
        <f t="shared" si="3"/>
        <v>5528394.6066547334</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5528394.6066547334</v>
      </c>
      <c r="W12" s="28">
        <f t="shared" si="8"/>
        <v>5528394.6066547334</v>
      </c>
    </row>
    <row r="13" spans="1:24" ht="15.75" thickBot="1">
      <c r="A13" s="24" t="s">
        <v>173</v>
      </c>
      <c r="B13" s="65">
        <v>10</v>
      </c>
      <c r="C13" s="43">
        <f>TCO!M26+TCO!M27</f>
        <v>0</v>
      </c>
      <c r="D13" s="39">
        <f>(TCO!M$12*(1+$X$5))+TCO!M$13</f>
        <v>0</v>
      </c>
      <c r="E13" s="123">
        <f t="shared" si="1"/>
        <v>0</v>
      </c>
      <c r="F13" s="26">
        <f>TCO!M22+TCO!M23</f>
        <v>0</v>
      </c>
      <c r="G13" s="39">
        <f>(TCO!M$7*(1+$X$5))+TCO!M$8</f>
        <v>0</v>
      </c>
      <c r="H13" s="123">
        <f t="shared" si="2"/>
        <v>0</v>
      </c>
      <c r="I13" s="39">
        <f>TCO!M24+TCO!M25</f>
        <v>0</v>
      </c>
      <c r="J13" s="39">
        <f>(TCO!M$9*(1+$X$5))+TCO!M$10</f>
        <v>5528394.6066547334</v>
      </c>
      <c r="K13" s="123">
        <f t="shared" si="3"/>
        <v>5528394.6066547334</v>
      </c>
      <c r="L13" s="43">
        <v>0</v>
      </c>
      <c r="M13" s="43">
        <f>TCO!M11</f>
        <v>0</v>
      </c>
      <c r="N13" s="123">
        <f t="shared" si="4"/>
        <v>0</v>
      </c>
      <c r="O13" s="43">
        <v>0</v>
      </c>
      <c r="P13" s="43">
        <f>TCO!M14</f>
        <v>0</v>
      </c>
      <c r="Q13" s="123">
        <f t="shared" si="5"/>
        <v>0</v>
      </c>
      <c r="R13" s="43">
        <f>'Parametre - Agendové IS'!D115</f>
        <v>0</v>
      </c>
      <c r="S13" s="43">
        <f>'Parametre - Agendové IS'!E115</f>
        <v>0</v>
      </c>
      <c r="T13" s="123">
        <f t="shared" si="0"/>
        <v>0</v>
      </c>
      <c r="U13" s="25">
        <f t="shared" si="6"/>
        <v>0</v>
      </c>
      <c r="V13" s="25">
        <f t="shared" si="7"/>
        <v>5528394.6066547334</v>
      </c>
      <c r="W13" s="123">
        <f t="shared" si="8"/>
        <v>5528394.6066547334</v>
      </c>
    </row>
    <row r="14" spans="1:24">
      <c r="A14" s="746" t="s">
        <v>97</v>
      </c>
      <c r="B14" s="747"/>
      <c r="C14" s="344">
        <f>SUM(C4:C13)</f>
        <v>0</v>
      </c>
      <c r="D14" s="342">
        <f t="shared" ref="D14:T14" si="9">SUM(D4:D13)</f>
        <v>0</v>
      </c>
      <c r="E14" s="341">
        <f t="shared" si="9"/>
        <v>0</v>
      </c>
      <c r="F14" s="344">
        <f t="shared" si="9"/>
        <v>0</v>
      </c>
      <c r="G14" s="342">
        <f t="shared" si="9"/>
        <v>0</v>
      </c>
      <c r="H14" s="341">
        <f t="shared" si="9"/>
        <v>0</v>
      </c>
      <c r="I14" s="344">
        <f t="shared" si="9"/>
        <v>0</v>
      </c>
      <c r="J14" s="342">
        <f t="shared" si="9"/>
        <v>67790458.355664596</v>
      </c>
      <c r="K14" s="341">
        <f t="shared" si="9"/>
        <v>67790458.355664596</v>
      </c>
      <c r="L14" s="344">
        <f t="shared" ref="L14:Q14" si="10">SUM(L4:L13)</f>
        <v>0</v>
      </c>
      <c r="M14" s="342">
        <f t="shared" si="10"/>
        <v>0</v>
      </c>
      <c r="N14" s="341">
        <f t="shared" si="10"/>
        <v>0</v>
      </c>
      <c r="O14" s="344">
        <f t="shared" si="10"/>
        <v>0</v>
      </c>
      <c r="P14" s="342">
        <f t="shared" si="10"/>
        <v>326304</v>
      </c>
      <c r="Q14" s="341">
        <f t="shared" si="10"/>
        <v>326304</v>
      </c>
      <c r="R14" s="344">
        <f t="shared" si="9"/>
        <v>0</v>
      </c>
      <c r="S14" s="342">
        <f t="shared" si="9"/>
        <v>0</v>
      </c>
      <c r="T14" s="341">
        <f t="shared" si="9"/>
        <v>0</v>
      </c>
      <c r="U14" s="353">
        <f>SUM(U4:U13)</f>
        <v>0</v>
      </c>
      <c r="V14" s="354">
        <f>SUM(V4:V13)</f>
        <v>68116762.355664596</v>
      </c>
      <c r="W14" s="355">
        <f>SUM(W4:W13)</f>
        <v>68116762.355664596</v>
      </c>
    </row>
    <row r="15" spans="1:24" ht="15.75" thickBot="1">
      <c r="A15" s="748" t="s">
        <v>193</v>
      </c>
      <c r="B15" s="749"/>
      <c r="C15" s="352"/>
      <c r="D15" s="350">
        <f>D4+NPV(Faktory!$D$5,D5:D13)</f>
        <v>0</v>
      </c>
      <c r="E15" s="348">
        <f>E4+NPV(Faktory!$D$5,E5:E13)</f>
        <v>0</v>
      </c>
      <c r="F15" s="352"/>
      <c r="G15" s="350">
        <f>G4+NPV(Faktory!$D$5,G5:G13)</f>
        <v>0</v>
      </c>
      <c r="H15" s="348">
        <f>H4+NPV(Faktory!$D$5,H5:H13)</f>
        <v>0</v>
      </c>
      <c r="I15" s="352"/>
      <c r="J15" s="350">
        <f>J4+NPV(Faktory!$D$5,J5:J13)</f>
        <v>55885079.127036497</v>
      </c>
      <c r="K15" s="348">
        <f>K4+NPV(Faktory!$D$5,K5:K13)</f>
        <v>55885079.127036497</v>
      </c>
      <c r="L15" s="352"/>
      <c r="M15" s="350">
        <f>M4+NPV(Faktory!$D$5,M5:M13)</f>
        <v>0</v>
      </c>
      <c r="N15" s="348">
        <f>N4+NPV(Faktory!$D$5,N5:N13)</f>
        <v>0</v>
      </c>
      <c r="O15" s="352"/>
      <c r="P15" s="350">
        <f>P4+NPV(Faktory!$D$5,P5:P13)</f>
        <v>314021.3551020408</v>
      </c>
      <c r="Q15" s="348">
        <f>Q4+NPV(Faktory!$D$5,Q5:Q13)</f>
        <v>314021.3551020408</v>
      </c>
      <c r="R15" s="352"/>
      <c r="S15" s="350">
        <f>S4+NPV(Faktory!$D$5,S5:S13)</f>
        <v>0</v>
      </c>
      <c r="T15" s="348">
        <f>T4+NPV(Faktory!$D$5,T5:T13)</f>
        <v>0</v>
      </c>
      <c r="U15" s="356"/>
      <c r="V15" s="350">
        <f>V4+NPV(Faktory!$D$5,V5:V13)</f>
        <v>56199100.482138537</v>
      </c>
      <c r="W15" s="357">
        <f>W4+NPV(Faktory!$D$5,W5:W13)</f>
        <v>56199100.482138537</v>
      </c>
    </row>
    <row r="16" spans="1:24">
      <c r="A16" s="7"/>
      <c r="B16" s="7"/>
      <c r="C16" s="7"/>
      <c r="D16" s="7"/>
      <c r="E16" s="115"/>
      <c r="F16" s="7"/>
      <c r="G16" s="7"/>
      <c r="H16" s="115"/>
      <c r="I16" s="7"/>
      <c r="J16" s="7"/>
      <c r="K16" s="115"/>
      <c r="L16" s="115"/>
      <c r="M16" s="115"/>
      <c r="N16" s="115"/>
      <c r="O16" s="115"/>
      <c r="P16" s="115"/>
      <c r="Q16" s="115"/>
      <c r="R16" s="7"/>
      <c r="S16" s="7"/>
      <c r="T16" s="115"/>
      <c r="U16" s="124"/>
      <c r="V16" s="124"/>
      <c r="W16" s="124"/>
    </row>
    <row r="17" spans="1:3">
      <c r="A17" s="7"/>
      <c r="B17" s="7"/>
      <c r="C17" s="96" t="s">
        <v>194</v>
      </c>
    </row>
    <row r="22" spans="1:3">
      <c r="C22" s="125"/>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topLeftCell="I1" zoomScaleNormal="85" zoomScaleSheetLayoutView="100" workbookViewId="0">
      <selection activeCell="AA11" sqref="AA11"/>
    </sheetView>
  </sheetViews>
  <sheetFormatPr defaultColWidth="8.85546875" defaultRowHeight="15"/>
  <cols>
    <col min="1" max="1" width="9.42578125" customWidth="1"/>
    <col min="2" max="2" width="4.42578125" bestFit="1" customWidth="1"/>
    <col min="3" max="4" width="14.28515625" bestFit="1" customWidth="1"/>
    <col min="5" max="9" width="13.42578125" customWidth="1"/>
    <col min="10" max="10" width="11.140625" customWidth="1"/>
    <col min="11" max="11" width="12" customWidth="1"/>
    <col min="13" max="13" width="12" customWidth="1"/>
    <col min="14" max="14" width="14" customWidth="1"/>
    <col min="15" max="15" width="14.85546875" customWidth="1"/>
    <col min="16" max="16" width="13.42578125" customWidth="1"/>
    <col min="17" max="17" width="13.42578125" bestFit="1" customWidth="1"/>
    <col min="18" max="21" width="13.85546875" customWidth="1"/>
    <col min="22" max="22" width="14.7109375" customWidth="1"/>
    <col min="23" max="23" width="14" customWidth="1"/>
    <col min="24" max="24" width="14.42578125" customWidth="1"/>
    <col min="25" max="25" width="14.28515625" bestFit="1" customWidth="1"/>
    <col min="26" max="26" width="13.7109375" customWidth="1"/>
    <col min="27" max="27" width="15.42578125" customWidth="1"/>
  </cols>
  <sheetData>
    <row r="1" spans="1:27" ht="15.75" customHeight="1" thickBot="1">
      <c r="A1" s="18"/>
      <c r="B1" s="35"/>
      <c r="C1" s="738" t="s">
        <v>195</v>
      </c>
      <c r="D1" s="739"/>
      <c r="E1" s="739"/>
      <c r="F1" s="739"/>
      <c r="G1" s="739"/>
      <c r="H1" s="739"/>
      <c r="I1" s="740"/>
      <c r="J1" s="738" t="s">
        <v>196</v>
      </c>
      <c r="K1" s="739"/>
      <c r="L1" s="739"/>
      <c r="M1" s="739"/>
      <c r="N1" s="739"/>
      <c r="O1" s="739"/>
      <c r="P1" s="739"/>
      <c r="Q1" s="739"/>
      <c r="R1" s="739"/>
      <c r="S1" s="739"/>
      <c r="T1" s="739"/>
      <c r="U1" s="740"/>
      <c r="V1" s="741" t="s">
        <v>197</v>
      </c>
      <c r="W1" s="742"/>
      <c r="X1" s="742"/>
      <c r="Y1" s="742"/>
      <c r="Z1" s="742"/>
      <c r="AA1" s="743"/>
    </row>
    <row r="2" spans="1:27" ht="15.75" thickBot="1">
      <c r="A2" s="648"/>
      <c r="B2" s="646"/>
      <c r="C2" s="741" t="s">
        <v>109</v>
      </c>
      <c r="D2" s="742"/>
      <c r="E2" s="743"/>
      <c r="F2" s="741" t="s">
        <v>198</v>
      </c>
      <c r="G2" s="742"/>
      <c r="H2" s="742"/>
      <c r="I2" s="743"/>
      <c r="J2" s="758" t="s">
        <v>110</v>
      </c>
      <c r="K2" s="759"/>
      <c r="L2" s="760"/>
      <c r="M2" s="761" t="s">
        <v>199</v>
      </c>
      <c r="N2" s="759"/>
      <c r="O2" s="760"/>
      <c r="P2" s="761" t="s">
        <v>200</v>
      </c>
      <c r="Q2" s="759"/>
      <c r="R2" s="760"/>
      <c r="S2" s="761" t="s">
        <v>201</v>
      </c>
      <c r="T2" s="759"/>
      <c r="U2" s="762"/>
      <c r="V2" s="742" t="s">
        <v>108</v>
      </c>
      <c r="W2" s="742"/>
      <c r="X2" s="743"/>
      <c r="Y2" s="742" t="s">
        <v>111</v>
      </c>
      <c r="Z2" s="742"/>
      <c r="AA2" s="743"/>
    </row>
    <row r="3" spans="1:27" ht="18.600000000000001" customHeight="1" thickBot="1">
      <c r="A3" s="656" t="s">
        <v>160</v>
      </c>
      <c r="B3" s="70" t="s">
        <v>192</v>
      </c>
      <c r="C3" s="22" t="s">
        <v>161</v>
      </c>
      <c r="D3" s="19" t="s">
        <v>162</v>
      </c>
      <c r="E3" s="23" t="s">
        <v>163</v>
      </c>
      <c r="F3" s="22" t="s">
        <v>103</v>
      </c>
      <c r="G3" s="19" t="s">
        <v>102</v>
      </c>
      <c r="H3" s="19" t="s">
        <v>202</v>
      </c>
      <c r="I3" s="19" t="s">
        <v>101</v>
      </c>
      <c r="J3" s="14" t="s">
        <v>161</v>
      </c>
      <c r="K3" s="15" t="s">
        <v>162</v>
      </c>
      <c r="L3" s="21" t="s">
        <v>163</v>
      </c>
      <c r="M3" s="20" t="s">
        <v>161</v>
      </c>
      <c r="N3" s="15" t="s">
        <v>162</v>
      </c>
      <c r="O3" s="21" t="s">
        <v>163</v>
      </c>
      <c r="P3" s="20" t="s">
        <v>161</v>
      </c>
      <c r="Q3" s="15" t="s">
        <v>162</v>
      </c>
      <c r="R3" s="21" t="s">
        <v>163</v>
      </c>
      <c r="S3" s="20" t="s">
        <v>161</v>
      </c>
      <c r="T3" s="15" t="s">
        <v>162</v>
      </c>
      <c r="U3" s="16" t="s">
        <v>163</v>
      </c>
      <c r="V3" s="15" t="s">
        <v>161</v>
      </c>
      <c r="W3" s="15" t="s">
        <v>162</v>
      </c>
      <c r="X3" s="16" t="s">
        <v>163</v>
      </c>
      <c r="Y3" s="15" t="s">
        <v>161</v>
      </c>
      <c r="Z3" s="15" t="s">
        <v>162</v>
      </c>
      <c r="AA3" s="16" t="s">
        <v>163</v>
      </c>
    </row>
    <row r="4" spans="1:27">
      <c r="A4" s="31" t="s">
        <v>164</v>
      </c>
      <c r="B4" s="63">
        <v>1</v>
      </c>
      <c r="C4" s="26">
        <f>'Parametre - Agendové IS'!D116</f>
        <v>0</v>
      </c>
      <c r="D4" s="26">
        <f>'Parametre - Agendové IS'!E116</f>
        <v>0</v>
      </c>
      <c r="E4" s="28">
        <f>IF(ISERR(D4-C4),"-",D4-C4)</f>
        <v>0</v>
      </c>
      <c r="F4" s="26">
        <f>IF(B4&lt;=MIN(MODULY_CBA!$N$3:$N$23),0,TCO!D26+TCO!D27)</f>
        <v>0</v>
      </c>
      <c r="G4" s="26">
        <f>IF(B4&lt;=MIN(MODULY_CBA!$N$3:$N$23),0,TCO!D22+TCO!D23)</f>
        <v>0</v>
      </c>
      <c r="H4" s="647">
        <f>IF(B4&lt;=MIN(MODULY_CBA!$N$3:$N$23),0,'Parametre - Agendové IS'!D106)</f>
        <v>0</v>
      </c>
      <c r="I4" s="28">
        <f>IF(B4&lt;=MIN(MODULY_CBA!$N$3:$N$23),0,TCO!D24+TCO!D25)</f>
        <v>0</v>
      </c>
      <c r="J4" s="236"/>
      <c r="K4" s="237"/>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165</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47">
        <f>IF(B5&lt;=MIN(MODULY_CBA!$N$3:$N$23),0,'Parametre - Agendové IS'!D107)</f>
        <v>0</v>
      </c>
      <c r="I5" s="28">
        <f>IF(B5&lt;=MIN(MODULY_CBA!$N$3:$N$23),0,TCO!E24+TCO!E25)</f>
        <v>0</v>
      </c>
      <c r="J5" s="236"/>
      <c r="K5" s="237"/>
      <c r="L5" s="28">
        <f t="shared" si="0"/>
        <v>0</v>
      </c>
      <c r="M5" s="29">
        <v>0</v>
      </c>
      <c r="N5" s="25">
        <f>'Parametre - Agendové IS'!E97</f>
        <v>0</v>
      </c>
      <c r="O5" s="114">
        <f>IF(ISERR(N5-M5),"-",N5-M5)</f>
        <v>0</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0</v>
      </c>
      <c r="AA5" s="28">
        <f t="shared" ref="AA5:AA13" si="8">Z5-Y5</f>
        <v>0</v>
      </c>
    </row>
    <row r="6" spans="1:27">
      <c r="A6" s="31" t="s">
        <v>166</v>
      </c>
      <c r="B6" s="64">
        <v>3</v>
      </c>
      <c r="C6" s="26">
        <f>'Parametre - Agendové IS'!D118</f>
        <v>0</v>
      </c>
      <c r="D6" s="26">
        <f>'Parametre - Agendové IS'!E118</f>
        <v>0</v>
      </c>
      <c r="E6" s="28">
        <f t="shared" si="4"/>
        <v>0</v>
      </c>
      <c r="F6" s="26">
        <f>IF(B6&lt;=MIN(MODULY_CBA!$N$3:$N$23),0,TCO!F26+TCO!F27)</f>
        <v>0</v>
      </c>
      <c r="G6" s="26">
        <f>IF(B6&lt;=MIN(MODULY_CBA!$N$3:$N$23),0,TCO!F22+TCO!F23)</f>
        <v>0</v>
      </c>
      <c r="H6" s="647">
        <f>IF(B6&lt;=MIN(MODULY_CBA!$N$3:$N$23),0,'Parametre - Agendové IS'!D108)</f>
        <v>0</v>
      </c>
      <c r="I6" s="28">
        <f>IF(B6&lt;=MIN(MODULY_CBA!$N$3:$N$23),0,TCO!F24+TCO!F25)</f>
        <v>0</v>
      </c>
      <c r="J6" s="236"/>
      <c r="K6" s="237"/>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0</v>
      </c>
      <c r="T6" s="25">
        <f>-'Parametre - Agendové IS'!E78</f>
        <v>0</v>
      </c>
      <c r="U6" s="28">
        <f t="shared" si="1"/>
        <v>0</v>
      </c>
      <c r="V6" s="26">
        <f t="shared" si="2"/>
        <v>0</v>
      </c>
      <c r="W6" s="25">
        <f t="shared" si="3"/>
        <v>0</v>
      </c>
      <c r="X6" s="28">
        <f t="shared" si="6"/>
        <v>0</v>
      </c>
      <c r="Y6" s="26">
        <f t="shared" si="7"/>
        <v>0</v>
      </c>
      <c r="Z6" s="25">
        <f t="shared" si="7"/>
        <v>0</v>
      </c>
      <c r="AA6" s="28">
        <f t="shared" si="8"/>
        <v>0</v>
      </c>
    </row>
    <row r="7" spans="1:27">
      <c r="A7" s="31" t="s">
        <v>167</v>
      </c>
      <c r="B7" s="64">
        <v>4</v>
      </c>
      <c r="C7" s="26">
        <f>'Parametre - Agendové IS'!D119</f>
        <v>0</v>
      </c>
      <c r="D7" s="26">
        <f>'Parametre - Agendové IS'!E119</f>
        <v>0</v>
      </c>
      <c r="E7" s="28">
        <f t="shared" si="4"/>
        <v>0</v>
      </c>
      <c r="F7" s="26">
        <f>IF(B7&lt;=MIN(MODULY_CBA!$N$3:$N$23),0,TCO!G26+TCO!G27)</f>
        <v>0</v>
      </c>
      <c r="G7" s="26">
        <f>IF(B7&lt;=MIN(MODULY_CBA!$N$3:$N$23),0,TCO!G22+TCO!G23)</f>
        <v>0</v>
      </c>
      <c r="H7" s="647">
        <f>IF(B7&lt;=MIN(MODULY_CBA!$N$3:$N$23),0,'Parametre - Agendové IS'!D109)</f>
        <v>0</v>
      </c>
      <c r="I7" s="28">
        <f>IF(B7&lt;=MIN(MODULY_CBA!$N$3:$N$23),0,TCO!G24+TCO!G25)</f>
        <v>0</v>
      </c>
      <c r="J7" s="236"/>
      <c r="K7" s="237"/>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0</v>
      </c>
      <c r="T7" s="25">
        <f>-'Parametre - Agendové IS'!E79</f>
        <v>0</v>
      </c>
      <c r="U7" s="28">
        <f t="shared" si="1"/>
        <v>0</v>
      </c>
      <c r="V7" s="26">
        <f t="shared" si="2"/>
        <v>0</v>
      </c>
      <c r="W7" s="25">
        <f t="shared" si="3"/>
        <v>0</v>
      </c>
      <c r="X7" s="28">
        <f t="shared" si="6"/>
        <v>0</v>
      </c>
      <c r="Y7" s="26">
        <f t="shared" si="7"/>
        <v>0</v>
      </c>
      <c r="Z7" s="25">
        <f t="shared" si="7"/>
        <v>0</v>
      </c>
      <c r="AA7" s="28">
        <f t="shared" si="8"/>
        <v>0</v>
      </c>
    </row>
    <row r="8" spans="1:27">
      <c r="A8" s="31" t="s">
        <v>168</v>
      </c>
      <c r="B8" s="64">
        <v>5</v>
      </c>
      <c r="C8" s="26">
        <f>'Parametre - Agendové IS'!D120</f>
        <v>0</v>
      </c>
      <c r="D8" s="26">
        <f>'Parametre - Agendové IS'!E120</f>
        <v>0</v>
      </c>
      <c r="E8" s="28">
        <f t="shared" si="4"/>
        <v>0</v>
      </c>
      <c r="F8" s="26">
        <f>IF(B8&lt;=MIN(MODULY_CBA!$N$3:$N$23),0,TCO!H26+TCO!H27)</f>
        <v>0</v>
      </c>
      <c r="G8" s="26">
        <f>IF(B8&lt;=MIN(MODULY_CBA!$N$3:$N$23),0,TCO!H22+TCO!H23)</f>
        <v>0</v>
      </c>
      <c r="H8" s="647">
        <f>IF(B8&lt;=MIN(MODULY_CBA!$N$3:$N$23),0,'Parametre - Agendové IS'!D110)</f>
        <v>0</v>
      </c>
      <c r="I8" s="28">
        <f>IF(B8&lt;=MIN(MODULY_CBA!$N$3:$N$23),0,TCO!H24+TCO!H25)</f>
        <v>0</v>
      </c>
      <c r="J8" s="236"/>
      <c r="K8" s="237"/>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0</v>
      </c>
      <c r="T8" s="25">
        <f>-'Parametre - Agendové IS'!E80</f>
        <v>0</v>
      </c>
      <c r="U8" s="28">
        <f t="shared" si="1"/>
        <v>0</v>
      </c>
      <c r="V8" s="26">
        <f t="shared" si="2"/>
        <v>0</v>
      </c>
      <c r="W8" s="25">
        <f t="shared" si="3"/>
        <v>0</v>
      </c>
      <c r="X8" s="28">
        <f t="shared" si="6"/>
        <v>0</v>
      </c>
      <c r="Y8" s="26">
        <f t="shared" si="7"/>
        <v>0</v>
      </c>
      <c r="Z8" s="25">
        <f t="shared" si="7"/>
        <v>0</v>
      </c>
      <c r="AA8" s="28">
        <f t="shared" si="8"/>
        <v>0</v>
      </c>
    </row>
    <row r="9" spans="1:27">
      <c r="A9" s="31" t="s">
        <v>169</v>
      </c>
      <c r="B9" s="64">
        <v>6</v>
      </c>
      <c r="C9" s="26">
        <f>'Parametre - Agendové IS'!D121</f>
        <v>0</v>
      </c>
      <c r="D9" s="26">
        <f>'Parametre - Agendové IS'!E121</f>
        <v>0</v>
      </c>
      <c r="E9" s="28">
        <f t="shared" si="4"/>
        <v>0</v>
      </c>
      <c r="F9" s="26">
        <f>IF(B9&lt;=MIN(MODULY_CBA!$N$3:$N$23),0,TCO!I26+TCO!I27)</f>
        <v>0</v>
      </c>
      <c r="G9" s="26">
        <f>IF(B9&lt;=MIN(MODULY_CBA!$N$3:$N$23),0,TCO!I22+TCO!I23)</f>
        <v>0</v>
      </c>
      <c r="H9" s="647">
        <f>IF(B9&lt;=MIN(MODULY_CBA!$N$3:$N$23),0,'Parametre - Agendové IS'!D111)</f>
        <v>0</v>
      </c>
      <c r="I9" s="28">
        <f>IF(B9&lt;=MIN(MODULY_CBA!$N$3:$N$23),0,TCO!I24+TCO!I25)</f>
        <v>0</v>
      </c>
      <c r="J9" s="236"/>
      <c r="K9" s="237"/>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0</v>
      </c>
      <c r="T9" s="25">
        <f>-'Parametre - Agendové IS'!E81</f>
        <v>0</v>
      </c>
      <c r="U9" s="28">
        <f t="shared" si="1"/>
        <v>0</v>
      </c>
      <c r="V9" s="26">
        <f t="shared" si="2"/>
        <v>0</v>
      </c>
      <c r="W9" s="25">
        <f t="shared" si="3"/>
        <v>0</v>
      </c>
      <c r="X9" s="28">
        <f t="shared" si="6"/>
        <v>0</v>
      </c>
      <c r="Y9" s="26">
        <f t="shared" si="7"/>
        <v>0</v>
      </c>
      <c r="Z9" s="25">
        <f t="shared" si="7"/>
        <v>0</v>
      </c>
      <c r="AA9" s="28">
        <f t="shared" si="8"/>
        <v>0</v>
      </c>
    </row>
    <row r="10" spans="1:27">
      <c r="A10" s="31" t="s">
        <v>170</v>
      </c>
      <c r="B10" s="64">
        <v>7</v>
      </c>
      <c r="C10" s="26">
        <f>'Parametre - Agendové IS'!D122</f>
        <v>0</v>
      </c>
      <c r="D10" s="26">
        <f>'Parametre - Agendové IS'!E122</f>
        <v>0</v>
      </c>
      <c r="E10" s="28">
        <f t="shared" si="4"/>
        <v>0</v>
      </c>
      <c r="F10" s="26">
        <f>IF(B10&lt;=MIN(MODULY_CBA!$N$3:$N$23),0,TCO!J26+TCO!J27)</f>
        <v>0</v>
      </c>
      <c r="G10" s="26">
        <f>IF(B10&lt;=MIN(MODULY_CBA!$N$3:$N$23),0,TCO!J22+TCO!J23)</f>
        <v>0</v>
      </c>
      <c r="H10" s="647">
        <f>IF(B10&lt;=MIN(MODULY_CBA!$N$3:$N$23),0,'Parametre - Agendové IS'!D112)</f>
        <v>0</v>
      </c>
      <c r="I10" s="28">
        <f>IF(B10&lt;=MIN(MODULY_CBA!$N$3:$N$23),0,TCO!J24+TCO!J25)</f>
        <v>0</v>
      </c>
      <c r="J10" s="236"/>
      <c r="K10" s="237"/>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0</v>
      </c>
      <c r="T10" s="25">
        <f>-'Parametre - Agendové IS'!E82</f>
        <v>0</v>
      </c>
      <c r="U10" s="28">
        <f t="shared" si="1"/>
        <v>0</v>
      </c>
      <c r="V10" s="26">
        <f t="shared" si="2"/>
        <v>0</v>
      </c>
      <c r="W10" s="25">
        <f t="shared" si="3"/>
        <v>0</v>
      </c>
      <c r="X10" s="28">
        <f t="shared" si="6"/>
        <v>0</v>
      </c>
      <c r="Y10" s="26">
        <f t="shared" si="7"/>
        <v>0</v>
      </c>
      <c r="Z10" s="25">
        <f t="shared" si="7"/>
        <v>0</v>
      </c>
      <c r="AA10" s="28">
        <f t="shared" si="8"/>
        <v>0</v>
      </c>
    </row>
    <row r="11" spans="1:27">
      <c r="A11" s="31" t="s">
        <v>171</v>
      </c>
      <c r="B11" s="64">
        <v>8</v>
      </c>
      <c r="C11" s="26">
        <f>'Parametre - Agendové IS'!D123</f>
        <v>0</v>
      </c>
      <c r="D11" s="26">
        <f>'Parametre - Agendové IS'!E123</f>
        <v>0</v>
      </c>
      <c r="E11" s="28">
        <f t="shared" si="4"/>
        <v>0</v>
      </c>
      <c r="F11" s="26">
        <f>IF(B11&lt;=MIN(MODULY_CBA!$N$3:$N$23),0,TCO!K26+TCO!K27)</f>
        <v>0</v>
      </c>
      <c r="G11" s="26">
        <f>IF(B11&lt;=MIN(MODULY_CBA!$N$3:$N$23),0,TCO!K22+TCO!K23)</f>
        <v>0</v>
      </c>
      <c r="H11" s="647">
        <f>IF(B11&lt;=MIN(MODULY_CBA!$N$3:$N$23),0,'Parametre - Agendové IS'!D113)</f>
        <v>0</v>
      </c>
      <c r="I11" s="28">
        <f>IF(B11&lt;=MIN(MODULY_CBA!$N$3:$N$23),0,TCO!K24+TCO!K25)</f>
        <v>0</v>
      </c>
      <c r="J11" s="236"/>
      <c r="K11" s="237"/>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0</v>
      </c>
      <c r="T11" s="25">
        <f>-'Parametre - Agendové IS'!E83</f>
        <v>0</v>
      </c>
      <c r="U11" s="28">
        <f t="shared" si="1"/>
        <v>0</v>
      </c>
      <c r="V11" s="26">
        <f t="shared" si="2"/>
        <v>0</v>
      </c>
      <c r="W11" s="25">
        <f t="shared" si="3"/>
        <v>0</v>
      </c>
      <c r="X11" s="28">
        <f t="shared" si="6"/>
        <v>0</v>
      </c>
      <c r="Y11" s="26">
        <f t="shared" si="7"/>
        <v>0</v>
      </c>
      <c r="Z11" s="25">
        <f t="shared" si="7"/>
        <v>0</v>
      </c>
      <c r="AA11" s="28" t="s">
        <v>203</v>
      </c>
    </row>
    <row r="12" spans="1:27">
      <c r="A12" s="31" t="s">
        <v>172</v>
      </c>
      <c r="B12" s="64">
        <v>9</v>
      </c>
      <c r="C12" s="26">
        <f>'Parametre - Agendové IS'!D124</f>
        <v>0</v>
      </c>
      <c r="D12" s="26">
        <f>'Parametre - Agendové IS'!E124</f>
        <v>0</v>
      </c>
      <c r="E12" s="28">
        <f t="shared" si="4"/>
        <v>0</v>
      </c>
      <c r="F12" s="26">
        <f>IF(B12&lt;=MIN(MODULY_CBA!$N$3:$N$23),0,TCO!L26+TCO!L27)</f>
        <v>0</v>
      </c>
      <c r="G12" s="26">
        <f>IF(B12&lt;=MIN(MODULY_CBA!$N$3:$N$23),0,TCO!L22+TCO!L23)</f>
        <v>0</v>
      </c>
      <c r="H12" s="647">
        <f>IF(B12&lt;=MIN(MODULY_CBA!$N$3:$N$23),0,'Parametre - Agendové IS'!D114)</f>
        <v>0</v>
      </c>
      <c r="I12" s="28">
        <f>IF(B12&lt;=MIN(MODULY_CBA!$N$3:$N$23),0,TCO!L24+TCO!L25)</f>
        <v>0</v>
      </c>
      <c r="J12" s="236"/>
      <c r="K12" s="237"/>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0</v>
      </c>
      <c r="T12" s="25">
        <f>-'Parametre - Agendové IS'!E84</f>
        <v>0</v>
      </c>
      <c r="U12" s="28">
        <f t="shared" si="1"/>
        <v>0</v>
      </c>
      <c r="V12" s="26">
        <f t="shared" si="2"/>
        <v>0</v>
      </c>
      <c r="W12" s="25">
        <f t="shared" si="3"/>
        <v>0</v>
      </c>
      <c r="X12" s="28">
        <f t="shared" si="6"/>
        <v>0</v>
      </c>
      <c r="Y12" s="26">
        <f t="shared" si="7"/>
        <v>0</v>
      </c>
      <c r="Z12" s="25">
        <f t="shared" si="7"/>
        <v>0</v>
      </c>
      <c r="AA12" s="28">
        <f t="shared" si="8"/>
        <v>0</v>
      </c>
    </row>
    <row r="13" spans="1:27" ht="15.6" customHeight="1" thickBot="1">
      <c r="A13" s="31" t="s">
        <v>173</v>
      </c>
      <c r="B13" s="65">
        <v>10</v>
      </c>
      <c r="C13" s="43">
        <f>'Parametre - Agendové IS'!D125</f>
        <v>0</v>
      </c>
      <c r="D13" s="43">
        <f>'Parametre - Agendové IS'!E125</f>
        <v>0</v>
      </c>
      <c r="E13" s="123">
        <f t="shared" si="4"/>
        <v>0</v>
      </c>
      <c r="F13" s="26">
        <f>IF(B13&lt;=MIN(MODULY_CBA!$N$3:$N$23),0,TCO!M26+TCO!M27)</f>
        <v>0</v>
      </c>
      <c r="G13" s="26">
        <f>IF(B13&lt;=MIN(MODULY_CBA!$N$3:$N$23),0,TCO!M22+TCO!M23)</f>
        <v>0</v>
      </c>
      <c r="H13" s="647">
        <f>IF(B13&lt;=MIN(MODULY_CBA!$N$3:$N$23),0,'Parametre - Agendové IS'!D115)</f>
        <v>0</v>
      </c>
      <c r="I13" s="123">
        <f>IF(B13&lt;=MIN(MODULY_CBA!$N$3:$N$23),0,TCO!M24+TCO!M25)</f>
        <v>0</v>
      </c>
      <c r="J13" s="238"/>
      <c r="K13" s="239"/>
      <c r="L13" s="123">
        <f t="shared" si="0"/>
        <v>0</v>
      </c>
      <c r="M13" s="29">
        <v>0</v>
      </c>
      <c r="N13" s="39">
        <f>'Parametre - Agendové IS'!E105</f>
        <v>0</v>
      </c>
      <c r="O13" s="123">
        <f t="shared" si="9"/>
        <v>0</v>
      </c>
      <c r="P13" s="43">
        <f>'Parametre - Agendové IS'!D135</f>
        <v>0</v>
      </c>
      <c r="Q13" s="43">
        <f>'Parametre - Agendové IS'!E135</f>
        <v>0</v>
      </c>
      <c r="R13" s="123">
        <f t="shared" si="5"/>
        <v>0</v>
      </c>
      <c r="S13" s="39">
        <f>-'Parametre - Agendové IS'!D85</f>
        <v>0</v>
      </c>
      <c r="T13" s="39">
        <f>-'Parametre - Agendové IS'!E85</f>
        <v>0</v>
      </c>
      <c r="U13" s="39">
        <f t="shared" si="1"/>
        <v>0</v>
      </c>
      <c r="V13" s="126">
        <f t="shared" si="2"/>
        <v>0</v>
      </c>
      <c r="W13" s="39">
        <f t="shared" si="3"/>
        <v>0</v>
      </c>
      <c r="X13" s="123">
        <f>W13-V13</f>
        <v>0</v>
      </c>
      <c r="Y13" s="43">
        <f t="shared" si="7"/>
        <v>0</v>
      </c>
      <c r="Z13" s="39">
        <f t="shared" si="7"/>
        <v>0</v>
      </c>
      <c r="AA13" s="123">
        <f t="shared" si="8"/>
        <v>0</v>
      </c>
    </row>
    <row r="14" spans="1:27">
      <c r="A14" s="754" t="s">
        <v>97</v>
      </c>
      <c r="B14" s="755"/>
      <c r="C14" s="340">
        <f>SUM(C4:C13)</f>
        <v>0</v>
      </c>
      <c r="D14" s="340">
        <f t="shared" ref="D14:U14" si="10">SUM(D4:D13)</f>
        <v>0</v>
      </c>
      <c r="E14" s="341">
        <f t="shared" si="10"/>
        <v>0</v>
      </c>
      <c r="F14" s="340">
        <f>SUM(F4:F13)</f>
        <v>0</v>
      </c>
      <c r="G14" s="340">
        <f t="shared" ref="G14:I14" si="11">SUM(G4:G13)</f>
        <v>0</v>
      </c>
      <c r="H14" s="340">
        <f t="shared" si="11"/>
        <v>0</v>
      </c>
      <c r="I14" s="341">
        <f t="shared" si="11"/>
        <v>0</v>
      </c>
      <c r="J14" s="340">
        <f t="shared" si="10"/>
        <v>0</v>
      </c>
      <c r="K14" s="342">
        <f t="shared" si="10"/>
        <v>0</v>
      </c>
      <c r="L14" s="341">
        <f t="shared" si="10"/>
        <v>0</v>
      </c>
      <c r="M14" s="340">
        <f t="shared" si="10"/>
        <v>0</v>
      </c>
      <c r="N14" s="342">
        <f t="shared" si="10"/>
        <v>0</v>
      </c>
      <c r="O14" s="341">
        <f t="shared" si="10"/>
        <v>0</v>
      </c>
      <c r="P14" s="340">
        <f t="shared" si="10"/>
        <v>0</v>
      </c>
      <c r="Q14" s="340">
        <f t="shared" si="10"/>
        <v>0</v>
      </c>
      <c r="R14" s="341">
        <f t="shared" si="10"/>
        <v>0</v>
      </c>
      <c r="S14" s="342">
        <f t="shared" si="10"/>
        <v>0</v>
      </c>
      <c r="T14" s="342">
        <f t="shared" si="10"/>
        <v>0</v>
      </c>
      <c r="U14" s="343">
        <f t="shared" si="10"/>
        <v>0</v>
      </c>
      <c r="V14" s="344">
        <f t="shared" ref="V14:AA14" si="12">SUM(V4:V13)</f>
        <v>0</v>
      </c>
      <c r="W14" s="342">
        <f t="shared" si="12"/>
        <v>0</v>
      </c>
      <c r="X14" s="345">
        <f t="shared" si="12"/>
        <v>0</v>
      </c>
      <c r="Y14" s="344">
        <f t="shared" si="12"/>
        <v>0</v>
      </c>
      <c r="Z14" s="342">
        <f t="shared" si="12"/>
        <v>0</v>
      </c>
      <c r="AA14" s="346">
        <f t="shared" si="12"/>
        <v>0</v>
      </c>
    </row>
    <row r="15" spans="1:27" ht="15.75" thickBot="1">
      <c r="A15" s="756" t="s">
        <v>193</v>
      </c>
      <c r="B15" s="757"/>
      <c r="C15" s="347"/>
      <c r="D15" s="347"/>
      <c r="E15" s="348">
        <f>E4+NPV(Faktory!$D$5,'Prínosy - Agendové IS'!E5:E13)</f>
        <v>0</v>
      </c>
      <c r="F15" s="653">
        <f>F4+NPV(Faktory!$D$5,'Prínosy - Agendové IS'!F5:F13)</f>
        <v>0</v>
      </c>
      <c r="G15" s="654">
        <f>G4+NPV(Faktory!$D$5,'Prínosy - Agendové IS'!G5:G13)</f>
        <v>0</v>
      </c>
      <c r="H15" s="654">
        <f>H4+NPV(Faktory!$D$5,'Prínosy - Agendové IS'!H5:H13)</f>
        <v>0</v>
      </c>
      <c r="I15" s="655">
        <f>I4+NPV(Faktory!$D$5,'Prínosy - Agendové IS'!I5:I13)</f>
        <v>0</v>
      </c>
      <c r="J15" s="349"/>
      <c r="K15" s="350"/>
      <c r="L15" s="348">
        <f>L4+NPV(Faktory!$D$3,'Prínosy - Agendové IS'!L5:L13)</f>
        <v>0</v>
      </c>
      <c r="M15" s="349"/>
      <c r="N15" s="350"/>
      <c r="O15" s="348">
        <f>O4+NPV(Faktory!$D$5,'Prínosy - Agendové IS'!O5:O13)</f>
        <v>0</v>
      </c>
      <c r="P15" s="347"/>
      <c r="Q15" s="347"/>
      <c r="R15" s="348">
        <f>R4+NPV(Faktory!$D$5,'Prínosy - Agendové IS'!R5:R13)</f>
        <v>0</v>
      </c>
      <c r="S15" s="350"/>
      <c r="T15" s="350"/>
      <c r="U15" s="351">
        <f>U4+NPV(Faktory!$D$5,'Prínosy - Agendové IS'!U5:U13)</f>
        <v>0</v>
      </c>
      <c r="V15" s="352"/>
      <c r="W15" s="350"/>
      <c r="X15" s="348">
        <f>X4+NPV(Faktory!$D$5,'Prínosy - Agendové IS'!X5:X13)</f>
        <v>0</v>
      </c>
      <c r="Y15" s="352"/>
      <c r="Z15" s="350"/>
      <c r="AA15" s="348">
        <f>AA4+NPV(Faktory!$D$5,'Prínosy - Agendové IS'!AA5:AA13)</f>
        <v>0</v>
      </c>
    </row>
    <row r="16" spans="1:27" ht="15.75" thickBot="1">
      <c r="AA16" s="348">
        <f>(AA15+SUM(F15:I15))</f>
        <v>0</v>
      </c>
    </row>
    <row r="17" spans="3:3">
      <c r="C17" s="96" t="s">
        <v>204</v>
      </c>
    </row>
    <row r="38" spans="20:20">
      <c r="T38" s="125"/>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55" zoomScaleNormal="55" workbookViewId="0">
      <pane xSplit="6" ySplit="4" topLeftCell="G5" activePane="bottomRight" state="frozen"/>
      <selection pane="topRight" activeCell="G1" sqref="G1"/>
      <selection pane="bottomLeft" activeCell="A5" sqref="A5"/>
      <selection pane="bottomRight" activeCell="K10" sqref="K10"/>
    </sheetView>
  </sheetViews>
  <sheetFormatPr defaultColWidth="9.140625" defaultRowHeight="15"/>
  <cols>
    <col min="1" max="1" width="19.140625" style="7" customWidth="1"/>
    <col min="2" max="2" width="9.85546875" style="7" bestFit="1" customWidth="1"/>
    <col min="3" max="3" width="8.85546875" style="7" bestFit="1" customWidth="1"/>
    <col min="4" max="4" width="14.42578125" style="7" bestFit="1" customWidth="1"/>
    <col min="5" max="5" width="15.7109375" style="7" bestFit="1" customWidth="1"/>
    <col min="6" max="6" width="14.42578125" style="7" bestFit="1" customWidth="1"/>
    <col min="7" max="7" width="14.140625" style="7" customWidth="1"/>
    <col min="8" max="8" width="14.140625" style="315" customWidth="1"/>
    <col min="9" max="18" width="14.140625" style="7" customWidth="1"/>
    <col min="19" max="19" width="14.140625" style="316" customWidth="1"/>
    <col min="20" max="20" width="14.140625" style="315" customWidth="1"/>
    <col min="21" max="21" width="14.140625" style="7" customWidth="1"/>
    <col min="22" max="22" width="14.140625" style="316" customWidth="1"/>
    <col min="23" max="23" width="14.140625" style="315" customWidth="1"/>
    <col min="24" max="33" width="14.140625" style="7" customWidth="1"/>
    <col min="34" max="34" width="14.140625" style="316" customWidth="1"/>
    <col min="35" max="35" width="14.140625" style="315" customWidth="1"/>
    <col min="36" max="36" width="14.140625" style="7" customWidth="1"/>
    <col min="37" max="37" width="14.140625" style="316" customWidth="1"/>
    <col min="38" max="38" width="14.140625" style="315" customWidth="1"/>
    <col min="39" max="48" width="14.140625" style="7" customWidth="1"/>
    <col min="49" max="49" width="14.140625" style="316" customWidth="1"/>
    <col min="50" max="50" width="14.140625" style="315" customWidth="1"/>
    <col min="51" max="51" width="14.140625" style="7" customWidth="1"/>
    <col min="52" max="52" width="14.140625" style="316" customWidth="1"/>
    <col min="53" max="53" width="14.140625" style="315" customWidth="1"/>
    <col min="54" max="63" width="14.140625" style="7" customWidth="1"/>
    <col min="64" max="64" width="14.140625" style="316" customWidth="1"/>
    <col min="65" max="65" width="14.140625" style="315" customWidth="1"/>
    <col min="66" max="66" width="14.140625" style="7" customWidth="1"/>
    <col min="67" max="67" width="14.140625" style="316" customWidth="1"/>
    <col min="68" max="68" width="14.140625" style="315" customWidth="1"/>
    <col min="69" max="69" width="14.140625" style="7" customWidth="1"/>
    <col min="70" max="70" width="14.7109375" style="241" customWidth="1"/>
    <col min="71" max="73" width="9.140625" style="7"/>
    <col min="74" max="74" width="12.42578125" style="7" bestFit="1" customWidth="1"/>
    <col min="75" max="309" width="9.140625" style="7"/>
    <col min="310" max="310" width="1.7109375" style="7" customWidth="1"/>
    <col min="311" max="311" width="19.140625" style="7" customWidth="1"/>
    <col min="312" max="312" width="35.140625" style="7" customWidth="1"/>
    <col min="313" max="313" width="9.85546875" style="7" bestFit="1" customWidth="1"/>
    <col min="314" max="314" width="8.85546875" style="7" bestFit="1" customWidth="1"/>
    <col min="315" max="325" width="10.28515625" style="7" customWidth="1"/>
    <col min="326" max="565" width="9.140625" style="7"/>
    <col min="566" max="566" width="1.7109375" style="7" customWidth="1"/>
    <col min="567" max="567" width="19.140625" style="7" customWidth="1"/>
    <col min="568" max="568" width="35.140625" style="7" customWidth="1"/>
    <col min="569" max="569" width="9.85546875" style="7" bestFit="1" customWidth="1"/>
    <col min="570" max="570" width="8.85546875" style="7" bestFit="1" customWidth="1"/>
    <col min="571" max="581" width="10.28515625" style="7" customWidth="1"/>
    <col min="582" max="821" width="9.140625" style="7"/>
    <col min="822" max="822" width="1.7109375" style="7" customWidth="1"/>
    <col min="823" max="823" width="19.140625" style="7" customWidth="1"/>
    <col min="824" max="824" width="35.140625" style="7" customWidth="1"/>
    <col min="825" max="825" width="9.85546875" style="7" bestFit="1" customWidth="1"/>
    <col min="826" max="826" width="8.85546875" style="7" bestFit="1" customWidth="1"/>
    <col min="827" max="837" width="10.28515625" style="7" customWidth="1"/>
    <col min="838" max="1077" width="9.140625" style="7"/>
    <col min="1078" max="1078" width="1.7109375" style="7" customWidth="1"/>
    <col min="1079" max="1079" width="19.140625" style="7" customWidth="1"/>
    <col min="1080" max="1080" width="35.140625" style="7" customWidth="1"/>
    <col min="1081" max="1081" width="9.85546875" style="7" bestFit="1" customWidth="1"/>
    <col min="1082" max="1082" width="8.85546875" style="7" bestFit="1" customWidth="1"/>
    <col min="1083" max="1093" width="10.28515625" style="7" customWidth="1"/>
    <col min="1094" max="1333" width="9.140625" style="7"/>
    <col min="1334" max="1334" width="1.7109375" style="7" customWidth="1"/>
    <col min="1335" max="1335" width="19.140625" style="7" customWidth="1"/>
    <col min="1336" max="1336" width="35.140625" style="7" customWidth="1"/>
    <col min="1337" max="1337" width="9.85546875" style="7" bestFit="1" customWidth="1"/>
    <col min="1338" max="1338" width="8.85546875" style="7" bestFit="1" customWidth="1"/>
    <col min="1339" max="1349" width="10.28515625" style="7" customWidth="1"/>
    <col min="1350" max="1589" width="9.140625" style="7"/>
    <col min="1590" max="1590" width="1.7109375" style="7" customWidth="1"/>
    <col min="1591" max="1591" width="19.140625" style="7" customWidth="1"/>
    <col min="1592" max="1592" width="35.140625" style="7" customWidth="1"/>
    <col min="1593" max="1593" width="9.85546875" style="7" bestFit="1" customWidth="1"/>
    <col min="1594" max="1594" width="8.85546875" style="7" bestFit="1" customWidth="1"/>
    <col min="1595" max="1605" width="10.28515625" style="7" customWidth="1"/>
    <col min="1606" max="1845" width="9.140625" style="7"/>
    <col min="1846" max="1846" width="1.7109375" style="7" customWidth="1"/>
    <col min="1847" max="1847" width="19.140625" style="7" customWidth="1"/>
    <col min="1848" max="1848" width="35.140625" style="7" customWidth="1"/>
    <col min="1849" max="1849" width="9.85546875" style="7" bestFit="1" customWidth="1"/>
    <col min="1850" max="1850" width="8.85546875" style="7" bestFit="1" customWidth="1"/>
    <col min="1851" max="1861" width="10.28515625" style="7" customWidth="1"/>
    <col min="1862" max="2101" width="9.140625" style="7"/>
    <col min="2102" max="2102" width="1.7109375" style="7" customWidth="1"/>
    <col min="2103" max="2103" width="19.140625" style="7" customWidth="1"/>
    <col min="2104" max="2104" width="35.140625" style="7" customWidth="1"/>
    <col min="2105" max="2105" width="9.85546875" style="7" bestFit="1" customWidth="1"/>
    <col min="2106" max="2106" width="8.85546875" style="7" bestFit="1" customWidth="1"/>
    <col min="2107" max="2117" width="10.28515625" style="7" customWidth="1"/>
    <col min="2118" max="2357" width="9.140625" style="7"/>
    <col min="2358" max="2358" width="1.7109375" style="7" customWidth="1"/>
    <col min="2359" max="2359" width="19.140625" style="7" customWidth="1"/>
    <col min="2360" max="2360" width="35.140625" style="7" customWidth="1"/>
    <col min="2361" max="2361" width="9.85546875" style="7" bestFit="1" customWidth="1"/>
    <col min="2362" max="2362" width="8.85546875" style="7" bestFit="1" customWidth="1"/>
    <col min="2363" max="2373" width="10.28515625" style="7" customWidth="1"/>
    <col min="2374" max="2613" width="9.140625" style="7"/>
    <col min="2614" max="2614" width="1.7109375" style="7" customWidth="1"/>
    <col min="2615" max="2615" width="19.140625" style="7" customWidth="1"/>
    <col min="2616" max="2616" width="35.140625" style="7" customWidth="1"/>
    <col min="2617" max="2617" width="9.85546875" style="7" bestFit="1" customWidth="1"/>
    <col min="2618" max="2618" width="8.85546875" style="7" bestFit="1" customWidth="1"/>
    <col min="2619" max="2629" width="10.28515625" style="7" customWidth="1"/>
    <col min="2630" max="2869" width="9.140625" style="7"/>
    <col min="2870" max="2870" width="1.7109375" style="7" customWidth="1"/>
    <col min="2871" max="2871" width="19.140625" style="7" customWidth="1"/>
    <col min="2872" max="2872" width="35.140625" style="7" customWidth="1"/>
    <col min="2873" max="2873" width="9.85546875" style="7" bestFit="1" customWidth="1"/>
    <col min="2874" max="2874" width="8.85546875" style="7" bestFit="1" customWidth="1"/>
    <col min="2875" max="2885" width="10.28515625" style="7" customWidth="1"/>
    <col min="2886" max="3125" width="9.140625" style="7"/>
    <col min="3126" max="3126" width="1.7109375" style="7" customWidth="1"/>
    <col min="3127" max="3127" width="19.140625" style="7" customWidth="1"/>
    <col min="3128" max="3128" width="35.140625" style="7" customWidth="1"/>
    <col min="3129" max="3129" width="9.85546875" style="7" bestFit="1" customWidth="1"/>
    <col min="3130" max="3130" width="8.85546875" style="7" bestFit="1" customWidth="1"/>
    <col min="3131" max="3141" width="10.28515625" style="7" customWidth="1"/>
    <col min="3142" max="3381" width="9.140625" style="7"/>
    <col min="3382" max="3382" width="1.7109375" style="7" customWidth="1"/>
    <col min="3383" max="3383" width="19.140625" style="7" customWidth="1"/>
    <col min="3384" max="3384" width="35.140625" style="7" customWidth="1"/>
    <col min="3385" max="3385" width="9.85546875" style="7" bestFit="1" customWidth="1"/>
    <col min="3386" max="3386" width="8.85546875" style="7" bestFit="1" customWidth="1"/>
    <col min="3387" max="3397" width="10.28515625" style="7" customWidth="1"/>
    <col min="3398" max="3637" width="9.140625" style="7"/>
    <col min="3638" max="3638" width="1.7109375" style="7" customWidth="1"/>
    <col min="3639" max="3639" width="19.140625" style="7" customWidth="1"/>
    <col min="3640" max="3640" width="35.140625" style="7" customWidth="1"/>
    <col min="3641" max="3641" width="9.85546875" style="7" bestFit="1" customWidth="1"/>
    <col min="3642" max="3642" width="8.85546875" style="7" bestFit="1" customWidth="1"/>
    <col min="3643" max="3653" width="10.28515625" style="7" customWidth="1"/>
    <col min="3654" max="3893" width="9.140625" style="7"/>
    <col min="3894" max="3894" width="1.7109375" style="7" customWidth="1"/>
    <col min="3895" max="3895" width="19.140625" style="7" customWidth="1"/>
    <col min="3896" max="3896" width="35.140625" style="7" customWidth="1"/>
    <col min="3897" max="3897" width="9.85546875" style="7" bestFit="1" customWidth="1"/>
    <col min="3898" max="3898" width="8.85546875" style="7" bestFit="1" customWidth="1"/>
    <col min="3899" max="3909" width="10.28515625" style="7" customWidth="1"/>
    <col min="3910" max="4149" width="9.140625" style="7"/>
    <col min="4150" max="4150" width="1.7109375" style="7" customWidth="1"/>
    <col min="4151" max="4151" width="19.140625" style="7" customWidth="1"/>
    <col min="4152" max="4152" width="35.140625" style="7" customWidth="1"/>
    <col min="4153" max="4153" width="9.85546875" style="7" bestFit="1" customWidth="1"/>
    <col min="4154" max="4154" width="8.85546875" style="7" bestFit="1" customWidth="1"/>
    <col min="4155" max="4165" width="10.28515625" style="7" customWidth="1"/>
    <col min="4166" max="4405" width="9.140625" style="7"/>
    <col min="4406" max="4406" width="1.7109375" style="7" customWidth="1"/>
    <col min="4407" max="4407" width="19.140625" style="7" customWidth="1"/>
    <col min="4408" max="4408" width="35.140625" style="7" customWidth="1"/>
    <col min="4409" max="4409" width="9.85546875" style="7" bestFit="1" customWidth="1"/>
    <col min="4410" max="4410" width="8.85546875" style="7" bestFit="1" customWidth="1"/>
    <col min="4411" max="4421" width="10.28515625" style="7" customWidth="1"/>
    <col min="4422" max="4661" width="9.140625" style="7"/>
    <col min="4662" max="4662" width="1.7109375" style="7" customWidth="1"/>
    <col min="4663" max="4663" width="19.140625" style="7" customWidth="1"/>
    <col min="4664" max="4664" width="35.140625" style="7" customWidth="1"/>
    <col min="4665" max="4665" width="9.85546875" style="7" bestFit="1" customWidth="1"/>
    <col min="4666" max="4666" width="8.85546875" style="7" bestFit="1" customWidth="1"/>
    <col min="4667" max="4677" width="10.28515625" style="7" customWidth="1"/>
    <col min="4678" max="4917" width="9.140625" style="7"/>
    <col min="4918" max="4918" width="1.7109375" style="7" customWidth="1"/>
    <col min="4919" max="4919" width="19.140625" style="7" customWidth="1"/>
    <col min="4920" max="4920" width="35.140625" style="7" customWidth="1"/>
    <col min="4921" max="4921" width="9.85546875" style="7" bestFit="1" customWidth="1"/>
    <col min="4922" max="4922" width="8.85546875" style="7" bestFit="1" customWidth="1"/>
    <col min="4923" max="4933" width="10.28515625" style="7" customWidth="1"/>
    <col min="4934" max="5173" width="9.140625" style="7"/>
    <col min="5174" max="5174" width="1.7109375" style="7" customWidth="1"/>
    <col min="5175" max="5175" width="19.140625" style="7" customWidth="1"/>
    <col min="5176" max="5176" width="35.140625" style="7" customWidth="1"/>
    <col min="5177" max="5177" width="9.85546875" style="7" bestFit="1" customWidth="1"/>
    <col min="5178" max="5178" width="8.85546875" style="7" bestFit="1" customWidth="1"/>
    <col min="5179" max="5189" width="10.28515625" style="7" customWidth="1"/>
    <col min="5190" max="5429" width="9.140625" style="7"/>
    <col min="5430" max="5430" width="1.7109375" style="7" customWidth="1"/>
    <col min="5431" max="5431" width="19.140625" style="7" customWidth="1"/>
    <col min="5432" max="5432" width="35.140625" style="7" customWidth="1"/>
    <col min="5433" max="5433" width="9.85546875" style="7" bestFit="1" customWidth="1"/>
    <col min="5434" max="5434" width="8.85546875" style="7" bestFit="1" customWidth="1"/>
    <col min="5435" max="5445" width="10.28515625" style="7" customWidth="1"/>
    <col min="5446" max="5685" width="9.140625" style="7"/>
    <col min="5686" max="5686" width="1.7109375" style="7" customWidth="1"/>
    <col min="5687" max="5687" width="19.140625" style="7" customWidth="1"/>
    <col min="5688" max="5688" width="35.140625" style="7" customWidth="1"/>
    <col min="5689" max="5689" width="9.85546875" style="7" bestFit="1" customWidth="1"/>
    <col min="5690" max="5690" width="8.85546875" style="7" bestFit="1" customWidth="1"/>
    <col min="5691" max="5701" width="10.28515625" style="7" customWidth="1"/>
    <col min="5702" max="5941" width="9.140625" style="7"/>
    <col min="5942" max="5942" width="1.7109375" style="7" customWidth="1"/>
    <col min="5943" max="5943" width="19.140625" style="7" customWidth="1"/>
    <col min="5944" max="5944" width="35.140625" style="7" customWidth="1"/>
    <col min="5945" max="5945" width="9.85546875" style="7" bestFit="1" customWidth="1"/>
    <col min="5946" max="5946" width="8.85546875" style="7" bestFit="1" customWidth="1"/>
    <col min="5947" max="5957" width="10.28515625" style="7" customWidth="1"/>
    <col min="5958" max="6197" width="9.140625" style="7"/>
    <col min="6198" max="6198" width="1.7109375" style="7" customWidth="1"/>
    <col min="6199" max="6199" width="19.140625" style="7" customWidth="1"/>
    <col min="6200" max="6200" width="35.140625" style="7" customWidth="1"/>
    <col min="6201" max="6201" width="9.85546875" style="7" bestFit="1" customWidth="1"/>
    <col min="6202" max="6202" width="8.85546875" style="7" bestFit="1" customWidth="1"/>
    <col min="6203" max="6213" width="10.28515625" style="7" customWidth="1"/>
    <col min="6214" max="6453" width="9.140625" style="7"/>
    <col min="6454" max="6454" width="1.7109375" style="7" customWidth="1"/>
    <col min="6455" max="6455" width="19.140625" style="7" customWidth="1"/>
    <col min="6456" max="6456" width="35.140625" style="7" customWidth="1"/>
    <col min="6457" max="6457" width="9.85546875" style="7" bestFit="1" customWidth="1"/>
    <col min="6458" max="6458" width="8.85546875" style="7" bestFit="1" customWidth="1"/>
    <col min="6459" max="6469" width="10.28515625" style="7" customWidth="1"/>
    <col min="6470" max="6709" width="9.140625" style="7"/>
    <col min="6710" max="6710" width="1.7109375" style="7" customWidth="1"/>
    <col min="6711" max="6711" width="19.140625" style="7" customWidth="1"/>
    <col min="6712" max="6712" width="35.140625" style="7" customWidth="1"/>
    <col min="6713" max="6713" width="9.85546875" style="7" bestFit="1" customWidth="1"/>
    <col min="6714" max="6714" width="8.85546875" style="7" bestFit="1" customWidth="1"/>
    <col min="6715" max="6725" width="10.28515625" style="7" customWidth="1"/>
    <col min="6726" max="6965" width="9.140625" style="7"/>
    <col min="6966" max="6966" width="1.7109375" style="7" customWidth="1"/>
    <col min="6967" max="6967" width="19.140625" style="7" customWidth="1"/>
    <col min="6968" max="6968" width="35.140625" style="7" customWidth="1"/>
    <col min="6969" max="6969" width="9.85546875" style="7" bestFit="1" customWidth="1"/>
    <col min="6970" max="6970" width="8.85546875" style="7" bestFit="1" customWidth="1"/>
    <col min="6971" max="6981" width="10.28515625" style="7" customWidth="1"/>
    <col min="6982" max="7221" width="9.140625" style="7"/>
    <col min="7222" max="7222" width="1.7109375" style="7" customWidth="1"/>
    <col min="7223" max="7223" width="19.140625" style="7" customWidth="1"/>
    <col min="7224" max="7224" width="35.140625" style="7" customWidth="1"/>
    <col min="7225" max="7225" width="9.85546875" style="7" bestFit="1" customWidth="1"/>
    <col min="7226" max="7226" width="8.85546875" style="7" bestFit="1" customWidth="1"/>
    <col min="7227" max="7237" width="10.28515625" style="7" customWidth="1"/>
    <col min="7238" max="7477" width="9.140625" style="7"/>
    <col min="7478" max="7478" width="1.7109375" style="7" customWidth="1"/>
    <col min="7479" max="7479" width="19.140625" style="7" customWidth="1"/>
    <col min="7480" max="7480" width="35.140625" style="7" customWidth="1"/>
    <col min="7481" max="7481" width="9.85546875" style="7" bestFit="1" customWidth="1"/>
    <col min="7482" max="7482" width="8.85546875" style="7" bestFit="1" customWidth="1"/>
    <col min="7483" max="7493" width="10.28515625" style="7" customWidth="1"/>
    <col min="7494" max="7733" width="9.140625" style="7"/>
    <col min="7734" max="7734" width="1.7109375" style="7" customWidth="1"/>
    <col min="7735" max="7735" width="19.140625" style="7" customWidth="1"/>
    <col min="7736" max="7736" width="35.140625" style="7" customWidth="1"/>
    <col min="7737" max="7737" width="9.85546875" style="7" bestFit="1" customWidth="1"/>
    <col min="7738" max="7738" width="8.85546875" style="7" bestFit="1" customWidth="1"/>
    <col min="7739" max="7749" width="10.28515625" style="7" customWidth="1"/>
    <col min="7750" max="7989" width="9.140625" style="7"/>
    <col min="7990" max="7990" width="1.7109375" style="7" customWidth="1"/>
    <col min="7991" max="7991" width="19.140625" style="7" customWidth="1"/>
    <col min="7992" max="7992" width="35.140625" style="7" customWidth="1"/>
    <col min="7993" max="7993" width="9.85546875" style="7" bestFit="1" customWidth="1"/>
    <col min="7994" max="7994" width="8.85546875" style="7" bestFit="1" customWidth="1"/>
    <col min="7995" max="8005" width="10.28515625" style="7" customWidth="1"/>
    <col min="8006" max="8245" width="9.140625" style="7"/>
    <col min="8246" max="8246" width="1.7109375" style="7" customWidth="1"/>
    <col min="8247" max="8247" width="19.140625" style="7" customWidth="1"/>
    <col min="8248" max="8248" width="35.140625" style="7" customWidth="1"/>
    <col min="8249" max="8249" width="9.85546875" style="7" bestFit="1" customWidth="1"/>
    <col min="8250" max="8250" width="8.85546875" style="7" bestFit="1" customWidth="1"/>
    <col min="8251" max="8261" width="10.28515625" style="7" customWidth="1"/>
    <col min="8262" max="8501" width="9.140625" style="7"/>
    <col min="8502" max="8502" width="1.7109375" style="7" customWidth="1"/>
    <col min="8503" max="8503" width="19.140625" style="7" customWidth="1"/>
    <col min="8504" max="8504" width="35.140625" style="7" customWidth="1"/>
    <col min="8505" max="8505" width="9.85546875" style="7" bestFit="1" customWidth="1"/>
    <col min="8506" max="8506" width="8.85546875" style="7" bestFit="1" customWidth="1"/>
    <col min="8507" max="8517" width="10.28515625" style="7" customWidth="1"/>
    <col min="8518" max="8757" width="9.140625" style="7"/>
    <col min="8758" max="8758" width="1.7109375" style="7" customWidth="1"/>
    <col min="8759" max="8759" width="19.140625" style="7" customWidth="1"/>
    <col min="8760" max="8760" width="35.140625" style="7" customWidth="1"/>
    <col min="8761" max="8761" width="9.85546875" style="7" bestFit="1" customWidth="1"/>
    <col min="8762" max="8762" width="8.85546875" style="7" bestFit="1" customWidth="1"/>
    <col min="8763" max="8773" width="10.28515625" style="7" customWidth="1"/>
    <col min="8774" max="9013" width="9.140625" style="7"/>
    <col min="9014" max="9014" width="1.7109375" style="7" customWidth="1"/>
    <col min="9015" max="9015" width="19.140625" style="7" customWidth="1"/>
    <col min="9016" max="9016" width="35.140625" style="7" customWidth="1"/>
    <col min="9017" max="9017" width="9.85546875" style="7" bestFit="1" customWidth="1"/>
    <col min="9018" max="9018" width="8.85546875" style="7" bestFit="1" customWidth="1"/>
    <col min="9019" max="9029" width="10.28515625" style="7" customWidth="1"/>
    <col min="9030" max="9269" width="9.140625" style="7"/>
    <col min="9270" max="9270" width="1.7109375" style="7" customWidth="1"/>
    <col min="9271" max="9271" width="19.140625" style="7" customWidth="1"/>
    <col min="9272" max="9272" width="35.140625" style="7" customWidth="1"/>
    <col min="9273" max="9273" width="9.85546875" style="7" bestFit="1" customWidth="1"/>
    <col min="9274" max="9274" width="8.85546875" style="7" bestFit="1" customWidth="1"/>
    <col min="9275" max="9285" width="10.28515625" style="7" customWidth="1"/>
    <col min="9286" max="9525" width="9.140625" style="7"/>
    <col min="9526" max="9526" width="1.7109375" style="7" customWidth="1"/>
    <col min="9527" max="9527" width="19.140625" style="7" customWidth="1"/>
    <col min="9528" max="9528" width="35.140625" style="7" customWidth="1"/>
    <col min="9529" max="9529" width="9.85546875" style="7" bestFit="1" customWidth="1"/>
    <col min="9530" max="9530" width="8.85546875" style="7" bestFit="1" customWidth="1"/>
    <col min="9531" max="9541" width="10.28515625" style="7" customWidth="1"/>
    <col min="9542" max="9781" width="9.140625" style="7"/>
    <col min="9782" max="9782" width="1.7109375" style="7" customWidth="1"/>
    <col min="9783" max="9783" width="19.140625" style="7" customWidth="1"/>
    <col min="9784" max="9784" width="35.140625" style="7" customWidth="1"/>
    <col min="9785" max="9785" width="9.85546875" style="7" bestFit="1" customWidth="1"/>
    <col min="9786" max="9786" width="8.85546875" style="7" bestFit="1" customWidth="1"/>
    <col min="9787" max="9797" width="10.28515625" style="7" customWidth="1"/>
    <col min="9798" max="10037" width="9.140625" style="7"/>
    <col min="10038" max="10038" width="1.7109375" style="7" customWidth="1"/>
    <col min="10039" max="10039" width="19.140625" style="7" customWidth="1"/>
    <col min="10040" max="10040" width="35.140625" style="7" customWidth="1"/>
    <col min="10041" max="10041" width="9.85546875" style="7" bestFit="1" customWidth="1"/>
    <col min="10042" max="10042" width="8.85546875" style="7" bestFit="1" customWidth="1"/>
    <col min="10043" max="10053" width="10.28515625" style="7" customWidth="1"/>
    <col min="10054" max="10293" width="9.140625" style="7"/>
    <col min="10294" max="10294" width="1.7109375" style="7" customWidth="1"/>
    <col min="10295" max="10295" width="19.140625" style="7" customWidth="1"/>
    <col min="10296" max="10296" width="35.140625" style="7" customWidth="1"/>
    <col min="10297" max="10297" width="9.85546875" style="7" bestFit="1" customWidth="1"/>
    <col min="10298" max="10298" width="8.85546875" style="7" bestFit="1" customWidth="1"/>
    <col min="10299" max="10309" width="10.28515625" style="7" customWidth="1"/>
    <col min="10310" max="10549" width="9.140625" style="7"/>
    <col min="10550" max="10550" width="1.7109375" style="7" customWidth="1"/>
    <col min="10551" max="10551" width="19.140625" style="7" customWidth="1"/>
    <col min="10552" max="10552" width="35.140625" style="7" customWidth="1"/>
    <col min="10553" max="10553" width="9.85546875" style="7" bestFit="1" customWidth="1"/>
    <col min="10554" max="10554" width="8.85546875" style="7" bestFit="1" customWidth="1"/>
    <col min="10555" max="10565" width="10.28515625" style="7" customWidth="1"/>
    <col min="10566" max="10805" width="9.140625" style="7"/>
    <col min="10806" max="10806" width="1.7109375" style="7" customWidth="1"/>
    <col min="10807" max="10807" width="19.140625" style="7" customWidth="1"/>
    <col min="10808" max="10808" width="35.140625" style="7" customWidth="1"/>
    <col min="10809" max="10809" width="9.85546875" style="7" bestFit="1" customWidth="1"/>
    <col min="10810" max="10810" width="8.85546875" style="7" bestFit="1" customWidth="1"/>
    <col min="10811" max="10821" width="10.28515625" style="7" customWidth="1"/>
    <col min="10822" max="11061" width="9.140625" style="7"/>
    <col min="11062" max="11062" width="1.7109375" style="7" customWidth="1"/>
    <col min="11063" max="11063" width="19.140625" style="7" customWidth="1"/>
    <col min="11064" max="11064" width="35.140625" style="7" customWidth="1"/>
    <col min="11065" max="11065" width="9.85546875" style="7" bestFit="1" customWidth="1"/>
    <col min="11066" max="11066" width="8.85546875" style="7" bestFit="1" customWidth="1"/>
    <col min="11067" max="11077" width="10.28515625" style="7" customWidth="1"/>
    <col min="11078" max="11317" width="9.140625" style="7"/>
    <col min="11318" max="11318" width="1.7109375" style="7" customWidth="1"/>
    <col min="11319" max="11319" width="19.140625" style="7" customWidth="1"/>
    <col min="11320" max="11320" width="35.140625" style="7" customWidth="1"/>
    <col min="11321" max="11321" width="9.85546875" style="7" bestFit="1" customWidth="1"/>
    <col min="11322" max="11322" width="8.85546875" style="7" bestFit="1" customWidth="1"/>
    <col min="11323" max="11333" width="10.28515625" style="7" customWidth="1"/>
    <col min="11334" max="11573" width="9.140625" style="7"/>
    <col min="11574" max="11574" width="1.7109375" style="7" customWidth="1"/>
    <col min="11575" max="11575" width="19.140625" style="7" customWidth="1"/>
    <col min="11576" max="11576" width="35.140625" style="7" customWidth="1"/>
    <col min="11577" max="11577" width="9.85546875" style="7" bestFit="1" customWidth="1"/>
    <col min="11578" max="11578" width="8.85546875" style="7" bestFit="1" customWidth="1"/>
    <col min="11579" max="11589" width="10.28515625" style="7" customWidth="1"/>
    <col min="11590" max="11829" width="9.140625" style="7"/>
    <col min="11830" max="11830" width="1.7109375" style="7" customWidth="1"/>
    <col min="11831" max="11831" width="19.140625" style="7" customWidth="1"/>
    <col min="11832" max="11832" width="35.140625" style="7" customWidth="1"/>
    <col min="11833" max="11833" width="9.85546875" style="7" bestFit="1" customWidth="1"/>
    <col min="11834" max="11834" width="8.85546875" style="7" bestFit="1" customWidth="1"/>
    <col min="11835" max="11845" width="10.28515625" style="7" customWidth="1"/>
    <col min="11846" max="12085" width="9.140625" style="7"/>
    <col min="12086" max="12086" width="1.7109375" style="7" customWidth="1"/>
    <col min="12087" max="12087" width="19.140625" style="7" customWidth="1"/>
    <col min="12088" max="12088" width="35.140625" style="7" customWidth="1"/>
    <col min="12089" max="12089" width="9.85546875" style="7" bestFit="1" customWidth="1"/>
    <col min="12090" max="12090" width="8.85546875" style="7" bestFit="1" customWidth="1"/>
    <col min="12091" max="12101" width="10.28515625" style="7" customWidth="1"/>
    <col min="12102" max="12341" width="9.140625" style="7"/>
    <col min="12342" max="12342" width="1.7109375" style="7" customWidth="1"/>
    <col min="12343" max="12343" width="19.140625" style="7" customWidth="1"/>
    <col min="12344" max="12344" width="35.140625" style="7" customWidth="1"/>
    <col min="12345" max="12345" width="9.85546875" style="7" bestFit="1" customWidth="1"/>
    <col min="12346" max="12346" width="8.85546875" style="7" bestFit="1" customWidth="1"/>
    <col min="12347" max="12357" width="10.28515625" style="7" customWidth="1"/>
    <col min="12358" max="12597" width="9.140625" style="7"/>
    <col min="12598" max="12598" width="1.7109375" style="7" customWidth="1"/>
    <col min="12599" max="12599" width="19.140625" style="7" customWidth="1"/>
    <col min="12600" max="12600" width="35.140625" style="7" customWidth="1"/>
    <col min="12601" max="12601" width="9.85546875" style="7" bestFit="1" customWidth="1"/>
    <col min="12602" max="12602" width="8.85546875" style="7" bestFit="1" customWidth="1"/>
    <col min="12603" max="12613" width="10.28515625" style="7" customWidth="1"/>
    <col min="12614" max="12853" width="9.140625" style="7"/>
    <col min="12854" max="12854" width="1.7109375" style="7" customWidth="1"/>
    <col min="12855" max="12855" width="19.140625" style="7" customWidth="1"/>
    <col min="12856" max="12856" width="35.140625" style="7" customWidth="1"/>
    <col min="12857" max="12857" width="9.85546875" style="7" bestFit="1" customWidth="1"/>
    <col min="12858" max="12858" width="8.85546875" style="7" bestFit="1" customWidth="1"/>
    <col min="12859" max="12869" width="10.28515625" style="7" customWidth="1"/>
    <col min="12870" max="13109" width="9.140625" style="7"/>
    <col min="13110" max="13110" width="1.7109375" style="7" customWidth="1"/>
    <col min="13111" max="13111" width="19.140625" style="7" customWidth="1"/>
    <col min="13112" max="13112" width="35.140625" style="7" customWidth="1"/>
    <col min="13113" max="13113" width="9.85546875" style="7" bestFit="1" customWidth="1"/>
    <col min="13114" max="13114" width="8.85546875" style="7" bestFit="1" customWidth="1"/>
    <col min="13115" max="13125" width="10.28515625" style="7" customWidth="1"/>
    <col min="13126" max="13365" width="9.140625" style="7"/>
    <col min="13366" max="13366" width="1.7109375" style="7" customWidth="1"/>
    <col min="13367" max="13367" width="19.140625" style="7" customWidth="1"/>
    <col min="13368" max="13368" width="35.140625" style="7" customWidth="1"/>
    <col min="13369" max="13369" width="9.85546875" style="7" bestFit="1" customWidth="1"/>
    <col min="13370" max="13370" width="8.85546875" style="7" bestFit="1" customWidth="1"/>
    <col min="13371" max="13381" width="10.28515625" style="7" customWidth="1"/>
    <col min="13382" max="13621" width="9.140625" style="7"/>
    <col min="13622" max="13622" width="1.7109375" style="7" customWidth="1"/>
    <col min="13623" max="13623" width="19.140625" style="7" customWidth="1"/>
    <col min="13624" max="13624" width="35.140625" style="7" customWidth="1"/>
    <col min="13625" max="13625" width="9.85546875" style="7" bestFit="1" customWidth="1"/>
    <col min="13626" max="13626" width="8.85546875" style="7" bestFit="1" customWidth="1"/>
    <col min="13627" max="13637" width="10.28515625" style="7" customWidth="1"/>
    <col min="13638" max="13877" width="9.140625" style="7"/>
    <col min="13878" max="13878" width="1.7109375" style="7" customWidth="1"/>
    <col min="13879" max="13879" width="19.140625" style="7" customWidth="1"/>
    <col min="13880" max="13880" width="35.140625" style="7" customWidth="1"/>
    <col min="13881" max="13881" width="9.85546875" style="7" bestFit="1" customWidth="1"/>
    <col min="13882" max="13882" width="8.85546875" style="7" bestFit="1" customWidth="1"/>
    <col min="13883" max="13893" width="10.28515625" style="7" customWidth="1"/>
    <col min="13894" max="14133" width="9.140625" style="7"/>
    <col min="14134" max="14134" width="1.7109375" style="7" customWidth="1"/>
    <col min="14135" max="14135" width="19.140625" style="7" customWidth="1"/>
    <col min="14136" max="14136" width="35.140625" style="7" customWidth="1"/>
    <col min="14137" max="14137" width="9.85546875" style="7" bestFit="1" customWidth="1"/>
    <col min="14138" max="14138" width="8.85546875" style="7" bestFit="1" customWidth="1"/>
    <col min="14139" max="14149" width="10.28515625" style="7" customWidth="1"/>
    <col min="14150" max="14389" width="9.140625" style="7"/>
    <col min="14390" max="14390" width="1.7109375" style="7" customWidth="1"/>
    <col min="14391" max="14391" width="19.140625" style="7" customWidth="1"/>
    <col min="14392" max="14392" width="35.140625" style="7" customWidth="1"/>
    <col min="14393" max="14393" width="9.85546875" style="7" bestFit="1" customWidth="1"/>
    <col min="14394" max="14394" width="8.85546875" style="7" bestFit="1" customWidth="1"/>
    <col min="14395" max="14405" width="10.28515625" style="7" customWidth="1"/>
    <col min="14406" max="14645" width="9.140625" style="7"/>
    <col min="14646" max="14646" width="1.7109375" style="7" customWidth="1"/>
    <col min="14647" max="14647" width="19.140625" style="7" customWidth="1"/>
    <col min="14648" max="14648" width="35.140625" style="7" customWidth="1"/>
    <col min="14649" max="14649" width="9.85546875" style="7" bestFit="1" customWidth="1"/>
    <col min="14650" max="14650" width="8.85546875" style="7" bestFit="1" customWidth="1"/>
    <col min="14651" max="14661" width="10.28515625" style="7" customWidth="1"/>
    <col min="14662" max="14901" width="9.140625" style="7"/>
    <col min="14902" max="14902" width="1.7109375" style="7" customWidth="1"/>
    <col min="14903" max="14903" width="19.140625" style="7" customWidth="1"/>
    <col min="14904" max="14904" width="35.140625" style="7" customWidth="1"/>
    <col min="14905" max="14905" width="9.85546875" style="7" bestFit="1" customWidth="1"/>
    <col min="14906" max="14906" width="8.85546875" style="7" bestFit="1" customWidth="1"/>
    <col min="14907" max="14917" width="10.28515625" style="7" customWidth="1"/>
    <col min="14918" max="15157" width="9.140625" style="7"/>
    <col min="15158" max="15158" width="1.7109375" style="7" customWidth="1"/>
    <col min="15159" max="15159" width="19.140625" style="7" customWidth="1"/>
    <col min="15160" max="15160" width="35.140625" style="7" customWidth="1"/>
    <col min="15161" max="15161" width="9.85546875" style="7" bestFit="1" customWidth="1"/>
    <col min="15162" max="15162" width="8.85546875" style="7" bestFit="1" customWidth="1"/>
    <col min="15163" max="15173" width="10.28515625" style="7" customWidth="1"/>
    <col min="15174" max="15413" width="9.140625" style="7"/>
    <col min="15414" max="15414" width="1.7109375" style="7" customWidth="1"/>
    <col min="15415" max="15415" width="19.140625" style="7" customWidth="1"/>
    <col min="15416" max="15416" width="35.140625" style="7" customWidth="1"/>
    <col min="15417" max="15417" width="9.85546875" style="7" bestFit="1" customWidth="1"/>
    <col min="15418" max="15418" width="8.85546875" style="7" bestFit="1" customWidth="1"/>
    <col min="15419" max="15429" width="10.28515625" style="7" customWidth="1"/>
    <col min="15430" max="15669" width="9.140625" style="7"/>
    <col min="15670" max="15670" width="1.7109375" style="7" customWidth="1"/>
    <col min="15671" max="15671" width="19.140625" style="7" customWidth="1"/>
    <col min="15672" max="15672" width="35.140625" style="7" customWidth="1"/>
    <col min="15673" max="15673" width="9.85546875" style="7" bestFit="1" customWidth="1"/>
    <col min="15674" max="15674" width="8.85546875" style="7" bestFit="1" customWidth="1"/>
    <col min="15675" max="15685" width="10.28515625" style="7" customWidth="1"/>
    <col min="15686" max="15925" width="9.140625" style="7"/>
    <col min="15926" max="15926" width="1.7109375" style="7" customWidth="1"/>
    <col min="15927" max="15927" width="19.140625" style="7" customWidth="1"/>
    <col min="15928" max="15928" width="35.140625" style="7" customWidth="1"/>
    <col min="15929" max="15929" width="9.85546875" style="7" bestFit="1" customWidth="1"/>
    <col min="15930" max="15930" width="8.85546875" style="7" bestFit="1" customWidth="1"/>
    <col min="15931" max="15941" width="10.28515625" style="7" customWidth="1"/>
    <col min="15942" max="16181" width="9.140625" style="7"/>
    <col min="16182" max="16182" width="1.7109375" style="7" customWidth="1"/>
    <col min="16183" max="16183" width="19.140625" style="7" customWidth="1"/>
    <col min="16184" max="16184" width="35.140625" style="7" customWidth="1"/>
    <col min="16185" max="16185" width="9.85546875" style="7" bestFit="1" customWidth="1"/>
    <col min="16186" max="16186" width="8.85546875" style="7" bestFit="1" customWidth="1"/>
    <col min="16187" max="16197" width="10.28515625" style="7" customWidth="1"/>
    <col min="16198" max="16384" width="9.140625" style="7"/>
  </cols>
  <sheetData>
    <row r="1" spans="1:70" ht="27" thickBot="1">
      <c r="A1" s="772"/>
      <c r="B1" s="772"/>
      <c r="C1" s="772"/>
      <c r="D1" s="772"/>
      <c r="E1" s="772"/>
      <c r="F1" s="772"/>
      <c r="G1" s="776" t="s">
        <v>205</v>
      </c>
      <c r="H1" s="777"/>
      <c r="I1" s="777"/>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8"/>
      <c r="AY1" s="778"/>
      <c r="AZ1" s="778"/>
      <c r="BA1" s="778"/>
      <c r="BB1" s="778"/>
      <c r="BC1" s="778"/>
      <c r="BD1" s="778"/>
      <c r="BE1" s="778"/>
      <c r="BF1" s="778"/>
      <c r="BG1" s="778"/>
      <c r="BH1" s="778"/>
      <c r="BI1" s="778"/>
      <c r="BJ1" s="778"/>
      <c r="BK1" s="778"/>
      <c r="BL1" s="778"/>
      <c r="BM1" s="778"/>
      <c r="BN1" s="778"/>
      <c r="BO1" s="778"/>
      <c r="BP1" s="778"/>
      <c r="BQ1" s="779"/>
    </row>
    <row r="2" spans="1:70" ht="36" customHeight="1">
      <c r="A2" s="240"/>
      <c r="B2" s="240"/>
      <c r="C2" s="240"/>
      <c r="D2" s="784" t="s">
        <v>97</v>
      </c>
      <c r="E2" s="785"/>
      <c r="F2" s="786"/>
      <c r="G2" s="766" t="str">
        <f>'TCO TO BE- SW'!F2</f>
        <v>Adaptér core banking služieb</v>
      </c>
      <c r="H2" s="767"/>
      <c r="I2" s="768"/>
      <c r="J2" s="766" t="str">
        <f>'TCO TO BE- SW'!G2</f>
        <v>Autentifikačný modul</v>
      </c>
      <c r="K2" s="767"/>
      <c r="L2" s="768"/>
      <c r="M2" s="766" t="str">
        <f>'TCO TO BE- SW'!H2</f>
        <v>Mobilná aplikácia - autentifikácia</v>
      </c>
      <c r="N2" s="767"/>
      <c r="O2" s="768"/>
      <c r="P2" s="766" t="str">
        <f>'TCO TO BE- SW'!I2</f>
        <v>KYC</v>
      </c>
      <c r="Q2" s="767"/>
      <c r="R2" s="768"/>
      <c r="S2" s="766" t="str">
        <f>'TCO TO BE- SW'!J2</f>
        <v>Webový portál ŠP</v>
      </c>
      <c r="T2" s="767"/>
      <c r="U2" s="768"/>
      <c r="V2" s="766" t="str">
        <f>'TCO TO BE- SW'!K2</f>
        <v>OpenAPI</v>
      </c>
      <c r="W2" s="767"/>
      <c r="X2" s="768"/>
      <c r="Y2" s="766" t="str">
        <f>'TCO TO BE- SW'!L2</f>
        <v>Modul platobných funkcionalít</v>
      </c>
      <c r="Z2" s="767"/>
      <c r="AA2" s="768"/>
      <c r="AB2" s="766" t="str">
        <f>'TCO TO BE- SW'!M2</f>
        <v>Modul všeobecných funkcionalít</v>
      </c>
      <c r="AC2" s="767"/>
      <c r="AD2" s="768"/>
      <c r="AE2" s="766" t="str">
        <f>'TCO TO BE- SW'!N2</f>
        <v>Mobilná aplikácia - autorizácia a notifikácie</v>
      </c>
      <c r="AF2" s="767"/>
      <c r="AG2" s="768"/>
      <c r="AH2" s="766" t="str">
        <f>'TCO TO BE- SW'!O2</f>
        <v>Modul rozpočtových funkcionalít</v>
      </c>
      <c r="AI2" s="767"/>
      <c r="AJ2" s="768"/>
      <c r="AK2" s="766" t="str">
        <f>'TCO TO BE- SW'!P2</f>
        <v>Migrácia do RPC</v>
      </c>
      <c r="AL2" s="767"/>
      <c r="AM2" s="768"/>
      <c r="AN2" s="766">
        <f>'TCO TO BE- SW'!Q2</f>
        <v>0</v>
      </c>
      <c r="AO2" s="767"/>
      <c r="AP2" s="768"/>
      <c r="AQ2" s="766">
        <f>'TCO TO BE- SW'!R2</f>
        <v>0</v>
      </c>
      <c r="AR2" s="767"/>
      <c r="AS2" s="768"/>
      <c r="AT2" s="766">
        <f>'TCO TO BE- SW'!S2</f>
        <v>0</v>
      </c>
      <c r="AU2" s="767"/>
      <c r="AV2" s="768"/>
      <c r="AW2" s="766">
        <f>'TCO TO BE- SW'!T2</f>
        <v>0</v>
      </c>
      <c r="AX2" s="767"/>
      <c r="AY2" s="768"/>
      <c r="AZ2" s="766">
        <f>'TCO TO BE- SW'!U2</f>
        <v>0</v>
      </c>
      <c r="BA2" s="767"/>
      <c r="BB2" s="768"/>
      <c r="BC2" s="766">
        <f>'TCO TO BE- SW'!V2</f>
        <v>0</v>
      </c>
      <c r="BD2" s="767"/>
      <c r="BE2" s="768"/>
      <c r="BF2" s="766">
        <f>'TCO TO BE- SW'!W2</f>
        <v>0</v>
      </c>
      <c r="BG2" s="767"/>
      <c r="BH2" s="768"/>
      <c r="BI2" s="766">
        <f>'TCO TO BE- SW'!X2</f>
        <v>0</v>
      </c>
      <c r="BJ2" s="767"/>
      <c r="BK2" s="768"/>
      <c r="BL2" s="766">
        <f>'TCO TO BE- SW'!Y2</f>
        <v>0</v>
      </c>
      <c r="BM2" s="767"/>
      <c r="BN2" s="768"/>
      <c r="BO2" s="766">
        <f>'TCO TO BE- SW'!Z2</f>
        <v>0</v>
      </c>
      <c r="BP2" s="767"/>
      <c r="BQ2" s="768"/>
    </row>
    <row r="3" spans="1:70" ht="36" customHeight="1" thickBot="1">
      <c r="A3" s="240" t="s">
        <v>206</v>
      </c>
      <c r="B3" s="240"/>
      <c r="C3" s="240"/>
      <c r="D3" s="360"/>
      <c r="E3" s="358"/>
      <c r="F3" s="359"/>
      <c r="G3" s="763"/>
      <c r="H3" s="764"/>
      <c r="I3" s="765"/>
      <c r="J3" s="763"/>
      <c r="K3" s="764"/>
      <c r="L3" s="765"/>
      <c r="M3" s="763"/>
      <c r="N3" s="764"/>
      <c r="O3" s="765"/>
      <c r="P3" s="763"/>
      <c r="Q3" s="764"/>
      <c r="R3" s="765"/>
      <c r="S3" s="763"/>
      <c r="T3" s="764"/>
      <c r="U3" s="765"/>
      <c r="V3" s="763"/>
      <c r="W3" s="764"/>
      <c r="X3" s="765"/>
      <c r="Y3" s="763"/>
      <c r="Z3" s="764"/>
      <c r="AA3" s="765"/>
      <c r="AB3" s="763"/>
      <c r="AC3" s="764"/>
      <c r="AD3" s="765"/>
      <c r="AE3" s="763"/>
      <c r="AF3" s="764"/>
      <c r="AG3" s="765"/>
      <c r="AH3" s="763"/>
      <c r="AI3" s="764"/>
      <c r="AJ3" s="765"/>
      <c r="AK3" s="763"/>
      <c r="AL3" s="764"/>
      <c r="AM3" s="765"/>
      <c r="AN3" s="763"/>
      <c r="AO3" s="764"/>
      <c r="AP3" s="765"/>
      <c r="AQ3" s="763"/>
      <c r="AR3" s="764"/>
      <c r="AS3" s="765"/>
      <c r="AT3" s="763"/>
      <c r="AU3" s="764"/>
      <c r="AV3" s="765"/>
      <c r="AW3" s="763"/>
      <c r="AX3" s="764"/>
      <c r="AY3" s="765"/>
      <c r="AZ3" s="763"/>
      <c r="BA3" s="764"/>
      <c r="BB3" s="765"/>
      <c r="BC3" s="763"/>
      <c r="BD3" s="764"/>
      <c r="BE3" s="765"/>
      <c r="BF3" s="763"/>
      <c r="BG3" s="764"/>
      <c r="BH3" s="765"/>
      <c r="BI3" s="763"/>
      <c r="BJ3" s="764"/>
      <c r="BK3" s="765"/>
      <c r="BL3" s="763"/>
      <c r="BM3" s="764"/>
      <c r="BN3" s="765"/>
      <c r="BO3" s="763"/>
      <c r="BP3" s="764"/>
      <c r="BQ3" s="765"/>
    </row>
    <row r="4" spans="1:70" s="58" customFormat="1" ht="15.75" customHeight="1" thickBot="1">
      <c r="A4" s="242" t="s">
        <v>207</v>
      </c>
      <c r="B4" s="242" t="s">
        <v>208</v>
      </c>
      <c r="C4" s="242" t="s">
        <v>160</v>
      </c>
      <c r="D4" s="243" t="s">
        <v>161</v>
      </c>
      <c r="E4" s="244" t="s">
        <v>162</v>
      </c>
      <c r="F4" s="245" t="s">
        <v>209</v>
      </c>
      <c r="G4" s="246" t="s">
        <v>161</v>
      </c>
      <c r="H4" s="246" t="s">
        <v>162</v>
      </c>
      <c r="I4" s="247" t="s">
        <v>209</v>
      </c>
      <c r="J4" s="246" t="s">
        <v>161</v>
      </c>
      <c r="K4" s="246" t="s">
        <v>162</v>
      </c>
      <c r="L4" s="247" t="s">
        <v>209</v>
      </c>
      <c r="M4" s="246" t="s">
        <v>161</v>
      </c>
      <c r="N4" s="246" t="s">
        <v>162</v>
      </c>
      <c r="O4" s="247" t="s">
        <v>209</v>
      </c>
      <c r="P4" s="246" t="s">
        <v>161</v>
      </c>
      <c r="Q4" s="246" t="s">
        <v>162</v>
      </c>
      <c r="R4" s="247" t="s">
        <v>209</v>
      </c>
      <c r="S4" s="246" t="s">
        <v>161</v>
      </c>
      <c r="T4" s="246" t="s">
        <v>162</v>
      </c>
      <c r="U4" s="247" t="s">
        <v>209</v>
      </c>
      <c r="V4" s="246" t="s">
        <v>161</v>
      </c>
      <c r="W4" s="246" t="s">
        <v>162</v>
      </c>
      <c r="X4" s="247" t="s">
        <v>209</v>
      </c>
      <c r="Y4" s="246" t="s">
        <v>161</v>
      </c>
      <c r="Z4" s="246" t="s">
        <v>162</v>
      </c>
      <c r="AA4" s="247" t="s">
        <v>209</v>
      </c>
      <c r="AB4" s="246" t="s">
        <v>161</v>
      </c>
      <c r="AC4" s="246" t="s">
        <v>162</v>
      </c>
      <c r="AD4" s="247" t="s">
        <v>209</v>
      </c>
      <c r="AE4" s="246" t="s">
        <v>161</v>
      </c>
      <c r="AF4" s="246" t="s">
        <v>162</v>
      </c>
      <c r="AG4" s="247" t="s">
        <v>209</v>
      </c>
      <c r="AH4" s="246" t="s">
        <v>161</v>
      </c>
      <c r="AI4" s="246" t="s">
        <v>162</v>
      </c>
      <c r="AJ4" s="247" t="s">
        <v>209</v>
      </c>
      <c r="AK4" s="246" t="s">
        <v>161</v>
      </c>
      <c r="AL4" s="246" t="s">
        <v>162</v>
      </c>
      <c r="AM4" s="247" t="s">
        <v>209</v>
      </c>
      <c r="AN4" s="246" t="s">
        <v>161</v>
      </c>
      <c r="AO4" s="246" t="s">
        <v>162</v>
      </c>
      <c r="AP4" s="247" t="s">
        <v>209</v>
      </c>
      <c r="AQ4" s="246" t="s">
        <v>161</v>
      </c>
      <c r="AR4" s="246" t="s">
        <v>162</v>
      </c>
      <c r="AS4" s="247" t="s">
        <v>209</v>
      </c>
      <c r="AT4" s="246" t="s">
        <v>161</v>
      </c>
      <c r="AU4" s="246" t="s">
        <v>162</v>
      </c>
      <c r="AV4" s="247" t="s">
        <v>209</v>
      </c>
      <c r="AW4" s="246" t="s">
        <v>161</v>
      </c>
      <c r="AX4" s="246" t="s">
        <v>162</v>
      </c>
      <c r="AY4" s="247" t="s">
        <v>209</v>
      </c>
      <c r="AZ4" s="246" t="s">
        <v>161</v>
      </c>
      <c r="BA4" s="246" t="s">
        <v>162</v>
      </c>
      <c r="BB4" s="247" t="s">
        <v>209</v>
      </c>
      <c r="BC4" s="246" t="s">
        <v>161</v>
      </c>
      <c r="BD4" s="246" t="s">
        <v>162</v>
      </c>
      <c r="BE4" s="247" t="s">
        <v>209</v>
      </c>
      <c r="BF4" s="246" t="s">
        <v>161</v>
      </c>
      <c r="BG4" s="246" t="s">
        <v>162</v>
      </c>
      <c r="BH4" s="247" t="s">
        <v>209</v>
      </c>
      <c r="BI4" s="246" t="s">
        <v>161</v>
      </c>
      <c r="BJ4" s="246" t="s">
        <v>162</v>
      </c>
      <c r="BK4" s="247" t="s">
        <v>209</v>
      </c>
      <c r="BL4" s="246" t="s">
        <v>161</v>
      </c>
      <c r="BM4" s="246" t="s">
        <v>162</v>
      </c>
      <c r="BN4" s="247" t="s">
        <v>209</v>
      </c>
      <c r="BO4" s="246" t="s">
        <v>161</v>
      </c>
      <c r="BP4" s="246" t="s">
        <v>162</v>
      </c>
      <c r="BQ4" s="247" t="s">
        <v>209</v>
      </c>
      <c r="BR4" s="248"/>
    </row>
    <row r="5" spans="1:70" ht="14.45" customHeight="1">
      <c r="A5" s="769" t="s">
        <v>210</v>
      </c>
      <c r="B5" s="773" t="s">
        <v>211</v>
      </c>
      <c r="C5" s="249" t="s">
        <v>164</v>
      </c>
      <c r="D5" s="250">
        <f>SUM(G5,J5,M5,P5,S5,V5,Y5,AB5,AE5,AH5,AK5,AN5,AQ5,AT5,AW5,AZ5,AZ5,BC5,BF5,BI5,BL5,BO5)</f>
        <v>0</v>
      </c>
      <c r="E5" s="251">
        <f>SUM(H5,K5,N5,Q5,T5,W5,Z5,AC5,AF5,AI5,AL5,AO5,AR5,AU5,AX5,BA5,BA5,BD5,BG5,BJ5,BM5,BP5)</f>
        <v>0</v>
      </c>
      <c r="F5" s="252">
        <f>SUM(I5,L5,O5,R5,U5,X5,AA5,AD5,AG5,AJ5,AM5,AP5,AS5,AV5,AY5,BB5,BB5,BE5,BH5,BK5,BN5,BQ5)</f>
        <v>0</v>
      </c>
      <c r="G5" s="537"/>
      <c r="H5" s="538"/>
      <c r="I5" s="255">
        <f>H5-G5</f>
        <v>0</v>
      </c>
      <c r="J5" s="537"/>
      <c r="K5" s="538"/>
      <c r="L5" s="255">
        <f>K5-J5</f>
        <v>0</v>
      </c>
      <c r="M5" s="537"/>
      <c r="N5" s="538"/>
      <c r="O5" s="255">
        <f>N5-M5</f>
        <v>0</v>
      </c>
      <c r="P5" s="253"/>
      <c r="Q5" s="254"/>
      <c r="R5" s="255">
        <f>Q5-P5</f>
        <v>0</v>
      </c>
      <c r="S5" s="253"/>
      <c r="T5" s="254"/>
      <c r="U5" s="255">
        <f>T5-S5</f>
        <v>0</v>
      </c>
      <c r="V5" s="253"/>
      <c r="W5" s="254"/>
      <c r="X5" s="255">
        <f>W5-V5</f>
        <v>0</v>
      </c>
      <c r="Y5" s="253"/>
      <c r="Z5" s="254"/>
      <c r="AA5" s="255">
        <f>Z5-Y5</f>
        <v>0</v>
      </c>
      <c r="AB5" s="253"/>
      <c r="AC5" s="254"/>
      <c r="AD5" s="255">
        <f>AC5-AB5</f>
        <v>0</v>
      </c>
      <c r="AE5" s="253"/>
      <c r="AF5" s="254"/>
      <c r="AG5" s="255">
        <f>AF5-AE5</f>
        <v>0</v>
      </c>
      <c r="AH5" s="253"/>
      <c r="AI5" s="254"/>
      <c r="AJ5" s="255">
        <f>AI5-AH5</f>
        <v>0</v>
      </c>
      <c r="AK5" s="253"/>
      <c r="AL5" s="254"/>
      <c r="AM5" s="255">
        <f>AL5-AK5</f>
        <v>0</v>
      </c>
      <c r="AN5" s="253"/>
      <c r="AO5" s="254"/>
      <c r="AP5" s="255">
        <f>AO5-AN5</f>
        <v>0</v>
      </c>
      <c r="AQ5" s="253"/>
      <c r="AR5" s="254"/>
      <c r="AS5" s="255">
        <f>AR5-AQ5</f>
        <v>0</v>
      </c>
      <c r="AT5" s="253"/>
      <c r="AU5" s="254"/>
      <c r="AV5" s="255">
        <f>AU5-AT5</f>
        <v>0</v>
      </c>
      <c r="AW5" s="253"/>
      <c r="AX5" s="254"/>
      <c r="AY5" s="255">
        <f>AX5-AW5</f>
        <v>0</v>
      </c>
      <c r="AZ5" s="253"/>
      <c r="BA5" s="254"/>
      <c r="BB5" s="255">
        <f>BA5-AZ5</f>
        <v>0</v>
      </c>
      <c r="BC5" s="253"/>
      <c r="BD5" s="254"/>
      <c r="BE5" s="255">
        <f>BD5-BC5</f>
        <v>0</v>
      </c>
      <c r="BF5" s="253"/>
      <c r="BG5" s="254"/>
      <c r="BH5" s="255">
        <f>BG5-BF5</f>
        <v>0</v>
      </c>
      <c r="BI5" s="253"/>
      <c r="BJ5" s="254"/>
      <c r="BK5" s="255">
        <f>BJ5-BI5</f>
        <v>0</v>
      </c>
      <c r="BL5" s="253"/>
      <c r="BM5" s="254"/>
      <c r="BN5" s="255">
        <f>BM5-BL5</f>
        <v>0</v>
      </c>
      <c r="BO5" s="253"/>
      <c r="BP5" s="254"/>
      <c r="BQ5" s="255">
        <f>BP5-BO5</f>
        <v>0</v>
      </c>
      <c r="BR5" s="256">
        <v>0</v>
      </c>
    </row>
    <row r="6" spans="1:70">
      <c r="A6" s="770"/>
      <c r="B6" s="774"/>
      <c r="C6" s="24" t="s">
        <v>165</v>
      </c>
      <c r="D6" s="257">
        <f t="shared" ref="D6:D14" si="0">SUM(G6,J6,M6,P6,S6,V6,Y6,AB6,AE6,AH6,AK6,AN6,AQ6,AT6,AW6,AZ6,AZ6,BC6,BF6,BI6,BL6,BO6)</f>
        <v>0</v>
      </c>
      <c r="E6" s="258">
        <f t="shared" ref="E6:E14" si="1">SUM(H6,K6,N6,Q6,T6,W6,Z6,AC6,AF6,AI6,AL6,AO6,AR6,AU6,AX6,BA6,BA6,BD6,BG6,BJ6,BM6,BP6)</f>
        <v>0</v>
      </c>
      <c r="F6" s="259">
        <f t="shared" ref="F6:F14" si="2">SUM(I6,L6,O6,R6,U6,X6,AA6,AD6,AG6,AJ6,AM6,AP6,AS6,AV6,AY6,BB6,BB6,BE6,BH6,BK6,BN6,BQ6)</f>
        <v>0</v>
      </c>
      <c r="G6" s="539"/>
      <c r="H6" s="540"/>
      <c r="I6" s="260">
        <f t="shared" ref="I6:I24" si="3">H6-G6</f>
        <v>0</v>
      </c>
      <c r="J6" s="539"/>
      <c r="K6" s="540"/>
      <c r="L6" s="260">
        <f t="shared" ref="L6:L24" si="4">K6-J6</f>
        <v>0</v>
      </c>
      <c r="M6" s="539"/>
      <c r="N6" s="540"/>
      <c r="O6" s="260">
        <f t="shared" ref="O6:O24" si="5">N6-M6</f>
        <v>0</v>
      </c>
      <c r="P6" s="539"/>
      <c r="Q6" s="540"/>
      <c r="R6" s="260">
        <f t="shared" ref="R6:R24" si="6">Q6-P6</f>
        <v>0</v>
      </c>
      <c r="S6" s="539"/>
      <c r="T6" s="540"/>
      <c r="U6" s="260">
        <f t="shared" ref="U6:U24" si="7">T6-S6</f>
        <v>0</v>
      </c>
      <c r="V6" s="539"/>
      <c r="W6" s="540"/>
      <c r="X6" s="260">
        <f t="shared" ref="X6:X24" si="8">W6-V6</f>
        <v>0</v>
      </c>
      <c r="Y6" s="539"/>
      <c r="Z6" s="540"/>
      <c r="AA6" s="260">
        <f t="shared" ref="AA6:AA24" si="9">Z6-Y6</f>
        <v>0</v>
      </c>
      <c r="AB6" s="539"/>
      <c r="AC6" s="540"/>
      <c r="AD6" s="260">
        <f t="shared" ref="AD6:AD24" si="10">AC6-AB6</f>
        <v>0</v>
      </c>
      <c r="AE6" s="539"/>
      <c r="AF6" s="540"/>
      <c r="AG6" s="260">
        <f t="shared" ref="AG6:AG24" si="11">AF6-AE6</f>
        <v>0</v>
      </c>
      <c r="AH6" s="539"/>
      <c r="AI6" s="540"/>
      <c r="AJ6" s="260">
        <f t="shared" ref="AJ6:AJ24" si="12">AI6-AH6</f>
        <v>0</v>
      </c>
      <c r="AK6" s="539"/>
      <c r="AL6" s="540"/>
      <c r="AM6" s="260">
        <f t="shared" ref="AM6:AM24" si="13">AL6-AK6</f>
        <v>0</v>
      </c>
      <c r="AN6" s="539"/>
      <c r="AO6" s="540"/>
      <c r="AP6" s="260">
        <f t="shared" ref="AP6:AP24" si="14">AO6-AN6</f>
        <v>0</v>
      </c>
      <c r="AQ6" s="539"/>
      <c r="AR6" s="540"/>
      <c r="AS6" s="260">
        <f t="shared" ref="AS6:AS24" si="15">AR6-AQ6</f>
        <v>0</v>
      </c>
      <c r="AT6" s="539"/>
      <c r="AU6" s="540"/>
      <c r="AV6" s="260">
        <f t="shared" ref="AV6:AV24" si="16">AU6-AT6</f>
        <v>0</v>
      </c>
      <c r="AW6" s="539"/>
      <c r="AX6" s="540"/>
      <c r="AY6" s="260">
        <f t="shared" ref="AY6:AY24" si="17">AX6-AW6</f>
        <v>0</v>
      </c>
      <c r="AZ6" s="539"/>
      <c r="BA6" s="540"/>
      <c r="BB6" s="260">
        <f t="shared" ref="BB6:BB24" si="18">BA6-AZ6</f>
        <v>0</v>
      </c>
      <c r="BC6" s="539"/>
      <c r="BD6" s="540"/>
      <c r="BE6" s="260">
        <f t="shared" ref="BE6:BE24" si="19">BD6-BC6</f>
        <v>0</v>
      </c>
      <c r="BF6" s="539"/>
      <c r="BG6" s="540"/>
      <c r="BH6" s="260">
        <f t="shared" ref="BH6:BH24" si="20">BG6-BF6</f>
        <v>0</v>
      </c>
      <c r="BI6" s="539"/>
      <c r="BJ6" s="540"/>
      <c r="BK6" s="260">
        <f t="shared" ref="BK6:BK24" si="21">BJ6-BI6</f>
        <v>0</v>
      </c>
      <c r="BL6" s="539"/>
      <c r="BM6" s="540"/>
      <c r="BN6" s="260">
        <f t="shared" ref="BN6:BN24" si="22">BM6-BL6</f>
        <v>0</v>
      </c>
      <c r="BO6" s="539"/>
      <c r="BP6" s="540"/>
      <c r="BQ6" s="260">
        <f t="shared" ref="BQ6:BQ24" si="23">BP6-BO6</f>
        <v>0</v>
      </c>
      <c r="BR6" s="256"/>
    </row>
    <row r="7" spans="1:70">
      <c r="A7" s="770"/>
      <c r="B7" s="774"/>
      <c r="C7" s="24" t="s">
        <v>166</v>
      </c>
      <c r="D7" s="257">
        <f t="shared" si="0"/>
        <v>0</v>
      </c>
      <c r="E7" s="258">
        <f t="shared" si="1"/>
        <v>0</v>
      </c>
      <c r="F7" s="259">
        <f t="shared" si="2"/>
        <v>0</v>
      </c>
      <c r="G7" s="539"/>
      <c r="H7" s="540"/>
      <c r="I7" s="260">
        <f t="shared" si="3"/>
        <v>0</v>
      </c>
      <c r="J7" s="539"/>
      <c r="K7" s="540"/>
      <c r="L7" s="260">
        <f t="shared" si="4"/>
        <v>0</v>
      </c>
      <c r="M7" s="539"/>
      <c r="N7" s="540"/>
      <c r="O7" s="260">
        <f t="shared" si="5"/>
        <v>0</v>
      </c>
      <c r="P7" s="539"/>
      <c r="Q7" s="540"/>
      <c r="R7" s="260">
        <f t="shared" si="6"/>
        <v>0</v>
      </c>
      <c r="S7" s="539"/>
      <c r="T7" s="540"/>
      <c r="U7" s="260">
        <f t="shared" si="7"/>
        <v>0</v>
      </c>
      <c r="V7" s="539"/>
      <c r="W7" s="540"/>
      <c r="X7" s="260">
        <f t="shared" si="8"/>
        <v>0</v>
      </c>
      <c r="Y7" s="539"/>
      <c r="Z7" s="540"/>
      <c r="AA7" s="260">
        <f t="shared" si="9"/>
        <v>0</v>
      </c>
      <c r="AB7" s="539"/>
      <c r="AC7" s="540"/>
      <c r="AD7" s="260">
        <f t="shared" si="10"/>
        <v>0</v>
      </c>
      <c r="AE7" s="539"/>
      <c r="AF7" s="540"/>
      <c r="AG7" s="260">
        <f t="shared" si="11"/>
        <v>0</v>
      </c>
      <c r="AH7" s="539"/>
      <c r="AI7" s="540"/>
      <c r="AJ7" s="260">
        <f t="shared" si="12"/>
        <v>0</v>
      </c>
      <c r="AK7" s="539"/>
      <c r="AL7" s="540"/>
      <c r="AM7" s="260">
        <f t="shared" si="13"/>
        <v>0</v>
      </c>
      <c r="AN7" s="539"/>
      <c r="AO7" s="540"/>
      <c r="AP7" s="260">
        <f t="shared" si="14"/>
        <v>0</v>
      </c>
      <c r="AQ7" s="539"/>
      <c r="AR7" s="540"/>
      <c r="AS7" s="260">
        <f t="shared" si="15"/>
        <v>0</v>
      </c>
      <c r="AT7" s="539"/>
      <c r="AU7" s="540"/>
      <c r="AV7" s="260">
        <f t="shared" si="16"/>
        <v>0</v>
      </c>
      <c r="AW7" s="539"/>
      <c r="AX7" s="540"/>
      <c r="AY7" s="260">
        <f t="shared" si="17"/>
        <v>0</v>
      </c>
      <c r="AZ7" s="539"/>
      <c r="BA7" s="540"/>
      <c r="BB7" s="260">
        <f t="shared" si="18"/>
        <v>0</v>
      </c>
      <c r="BC7" s="539"/>
      <c r="BD7" s="540"/>
      <c r="BE7" s="260">
        <f t="shared" si="19"/>
        <v>0</v>
      </c>
      <c r="BF7" s="539"/>
      <c r="BG7" s="540"/>
      <c r="BH7" s="260">
        <f t="shared" si="20"/>
        <v>0</v>
      </c>
      <c r="BI7" s="539"/>
      <c r="BJ7" s="540"/>
      <c r="BK7" s="260">
        <f t="shared" si="21"/>
        <v>0</v>
      </c>
      <c r="BL7" s="539"/>
      <c r="BM7" s="540"/>
      <c r="BN7" s="260">
        <f t="shared" si="22"/>
        <v>0</v>
      </c>
      <c r="BO7" s="539"/>
      <c r="BP7" s="540"/>
      <c r="BQ7" s="260">
        <f t="shared" si="23"/>
        <v>0</v>
      </c>
      <c r="BR7" s="256"/>
    </row>
    <row r="8" spans="1:70">
      <c r="A8" s="770"/>
      <c r="B8" s="774"/>
      <c r="C8" s="24" t="s">
        <v>167</v>
      </c>
      <c r="D8" s="257">
        <f t="shared" si="0"/>
        <v>0</v>
      </c>
      <c r="E8" s="258">
        <f t="shared" si="1"/>
        <v>0</v>
      </c>
      <c r="F8" s="259">
        <f t="shared" si="2"/>
        <v>0</v>
      </c>
      <c r="G8" s="539"/>
      <c r="H8" s="540"/>
      <c r="I8" s="260">
        <f t="shared" si="3"/>
        <v>0</v>
      </c>
      <c r="J8" s="539"/>
      <c r="K8" s="540"/>
      <c r="L8" s="260">
        <f t="shared" si="4"/>
        <v>0</v>
      </c>
      <c r="M8" s="539"/>
      <c r="N8" s="540"/>
      <c r="O8" s="260">
        <f t="shared" si="5"/>
        <v>0</v>
      </c>
      <c r="P8" s="539"/>
      <c r="Q8" s="540"/>
      <c r="R8" s="260">
        <f t="shared" si="6"/>
        <v>0</v>
      </c>
      <c r="S8" s="539"/>
      <c r="T8" s="540"/>
      <c r="U8" s="260">
        <f t="shared" si="7"/>
        <v>0</v>
      </c>
      <c r="V8" s="539"/>
      <c r="W8" s="540"/>
      <c r="X8" s="260">
        <f t="shared" si="8"/>
        <v>0</v>
      </c>
      <c r="Y8" s="539"/>
      <c r="Z8" s="540"/>
      <c r="AA8" s="260">
        <f t="shared" si="9"/>
        <v>0</v>
      </c>
      <c r="AB8" s="539"/>
      <c r="AC8" s="540"/>
      <c r="AD8" s="260">
        <f t="shared" si="10"/>
        <v>0</v>
      </c>
      <c r="AE8" s="539"/>
      <c r="AF8" s="540"/>
      <c r="AG8" s="260">
        <f t="shared" si="11"/>
        <v>0</v>
      </c>
      <c r="AH8" s="539"/>
      <c r="AI8" s="540"/>
      <c r="AJ8" s="260">
        <f t="shared" si="12"/>
        <v>0</v>
      </c>
      <c r="AK8" s="539"/>
      <c r="AL8" s="540"/>
      <c r="AM8" s="260">
        <f t="shared" si="13"/>
        <v>0</v>
      </c>
      <c r="AN8" s="539"/>
      <c r="AO8" s="540"/>
      <c r="AP8" s="260">
        <f t="shared" si="14"/>
        <v>0</v>
      </c>
      <c r="AQ8" s="539"/>
      <c r="AR8" s="540"/>
      <c r="AS8" s="260">
        <f t="shared" si="15"/>
        <v>0</v>
      </c>
      <c r="AT8" s="539"/>
      <c r="AU8" s="540"/>
      <c r="AV8" s="260">
        <f t="shared" si="16"/>
        <v>0</v>
      </c>
      <c r="AW8" s="539"/>
      <c r="AX8" s="540"/>
      <c r="AY8" s="260">
        <f t="shared" si="17"/>
        <v>0</v>
      </c>
      <c r="AZ8" s="539"/>
      <c r="BA8" s="540"/>
      <c r="BB8" s="260">
        <f t="shared" si="18"/>
        <v>0</v>
      </c>
      <c r="BC8" s="539"/>
      <c r="BD8" s="540"/>
      <c r="BE8" s="260">
        <f t="shared" si="19"/>
        <v>0</v>
      </c>
      <c r="BF8" s="539"/>
      <c r="BG8" s="540"/>
      <c r="BH8" s="260">
        <f t="shared" si="20"/>
        <v>0</v>
      </c>
      <c r="BI8" s="539"/>
      <c r="BJ8" s="540"/>
      <c r="BK8" s="260">
        <f t="shared" si="21"/>
        <v>0</v>
      </c>
      <c r="BL8" s="539"/>
      <c r="BM8" s="540"/>
      <c r="BN8" s="260">
        <f t="shared" si="22"/>
        <v>0</v>
      </c>
      <c r="BO8" s="539"/>
      <c r="BP8" s="540"/>
      <c r="BQ8" s="260">
        <f t="shared" si="23"/>
        <v>0</v>
      </c>
      <c r="BR8" s="256"/>
    </row>
    <row r="9" spans="1:70">
      <c r="A9" s="770"/>
      <c r="B9" s="774"/>
      <c r="C9" s="24" t="s">
        <v>168</v>
      </c>
      <c r="D9" s="257">
        <f t="shared" si="0"/>
        <v>0</v>
      </c>
      <c r="E9" s="258">
        <f t="shared" si="1"/>
        <v>0</v>
      </c>
      <c r="F9" s="259">
        <f t="shared" si="2"/>
        <v>0</v>
      </c>
      <c r="G9" s="539"/>
      <c r="H9" s="540"/>
      <c r="I9" s="260">
        <f t="shared" si="3"/>
        <v>0</v>
      </c>
      <c r="J9" s="539"/>
      <c r="K9" s="540"/>
      <c r="L9" s="260">
        <f t="shared" si="4"/>
        <v>0</v>
      </c>
      <c r="M9" s="539"/>
      <c r="N9" s="540"/>
      <c r="O9" s="260">
        <f t="shared" si="5"/>
        <v>0</v>
      </c>
      <c r="P9" s="539"/>
      <c r="Q9" s="540"/>
      <c r="R9" s="260">
        <f t="shared" si="6"/>
        <v>0</v>
      </c>
      <c r="S9" s="539"/>
      <c r="T9" s="540"/>
      <c r="U9" s="260">
        <f t="shared" si="7"/>
        <v>0</v>
      </c>
      <c r="V9" s="539"/>
      <c r="W9" s="540"/>
      <c r="X9" s="260">
        <f t="shared" si="8"/>
        <v>0</v>
      </c>
      <c r="Y9" s="539"/>
      <c r="Z9" s="540"/>
      <c r="AA9" s="260">
        <f t="shared" si="9"/>
        <v>0</v>
      </c>
      <c r="AB9" s="539"/>
      <c r="AC9" s="540"/>
      <c r="AD9" s="260">
        <f t="shared" si="10"/>
        <v>0</v>
      </c>
      <c r="AE9" s="539"/>
      <c r="AF9" s="540"/>
      <c r="AG9" s="260">
        <f t="shared" si="11"/>
        <v>0</v>
      </c>
      <c r="AH9" s="539"/>
      <c r="AI9" s="540"/>
      <c r="AJ9" s="260">
        <f t="shared" si="12"/>
        <v>0</v>
      </c>
      <c r="AK9" s="539"/>
      <c r="AL9" s="540"/>
      <c r="AM9" s="260">
        <f t="shared" si="13"/>
        <v>0</v>
      </c>
      <c r="AN9" s="539"/>
      <c r="AO9" s="540"/>
      <c r="AP9" s="260">
        <f t="shared" si="14"/>
        <v>0</v>
      </c>
      <c r="AQ9" s="539"/>
      <c r="AR9" s="540"/>
      <c r="AS9" s="260">
        <f t="shared" si="15"/>
        <v>0</v>
      </c>
      <c r="AT9" s="539"/>
      <c r="AU9" s="540"/>
      <c r="AV9" s="260">
        <f t="shared" si="16"/>
        <v>0</v>
      </c>
      <c r="AW9" s="539"/>
      <c r="AX9" s="540"/>
      <c r="AY9" s="260">
        <f t="shared" si="17"/>
        <v>0</v>
      </c>
      <c r="AZ9" s="539"/>
      <c r="BA9" s="540"/>
      <c r="BB9" s="260">
        <f t="shared" si="18"/>
        <v>0</v>
      </c>
      <c r="BC9" s="539"/>
      <c r="BD9" s="540"/>
      <c r="BE9" s="260">
        <f t="shared" si="19"/>
        <v>0</v>
      </c>
      <c r="BF9" s="539"/>
      <c r="BG9" s="540"/>
      <c r="BH9" s="260">
        <f t="shared" si="20"/>
        <v>0</v>
      </c>
      <c r="BI9" s="539"/>
      <c r="BJ9" s="540"/>
      <c r="BK9" s="260">
        <f t="shared" si="21"/>
        <v>0</v>
      </c>
      <c r="BL9" s="539"/>
      <c r="BM9" s="540"/>
      <c r="BN9" s="260">
        <f t="shared" si="22"/>
        <v>0</v>
      </c>
      <c r="BO9" s="539"/>
      <c r="BP9" s="540"/>
      <c r="BQ9" s="260">
        <f t="shared" si="23"/>
        <v>0</v>
      </c>
      <c r="BR9" s="256"/>
    </row>
    <row r="10" spans="1:70">
      <c r="A10" s="770"/>
      <c r="B10" s="774"/>
      <c r="C10" s="24" t="s">
        <v>169</v>
      </c>
      <c r="D10" s="257">
        <f t="shared" si="0"/>
        <v>0</v>
      </c>
      <c r="E10" s="258">
        <f t="shared" si="1"/>
        <v>0</v>
      </c>
      <c r="F10" s="259">
        <f t="shared" si="2"/>
        <v>0</v>
      </c>
      <c r="G10" s="539"/>
      <c r="H10" s="540"/>
      <c r="I10" s="260">
        <f t="shared" si="3"/>
        <v>0</v>
      </c>
      <c r="J10" s="539"/>
      <c r="K10" s="540"/>
      <c r="L10" s="260">
        <f t="shared" si="4"/>
        <v>0</v>
      </c>
      <c r="M10" s="539"/>
      <c r="N10" s="540"/>
      <c r="O10" s="260">
        <f t="shared" si="5"/>
        <v>0</v>
      </c>
      <c r="P10" s="539"/>
      <c r="Q10" s="540"/>
      <c r="R10" s="260">
        <f t="shared" si="6"/>
        <v>0</v>
      </c>
      <c r="S10" s="539"/>
      <c r="T10" s="540"/>
      <c r="U10" s="260">
        <f t="shared" si="7"/>
        <v>0</v>
      </c>
      <c r="V10" s="539"/>
      <c r="W10" s="540"/>
      <c r="X10" s="260">
        <f t="shared" si="8"/>
        <v>0</v>
      </c>
      <c r="Y10" s="539"/>
      <c r="Z10" s="540"/>
      <c r="AA10" s="260">
        <f t="shared" si="9"/>
        <v>0</v>
      </c>
      <c r="AB10" s="539"/>
      <c r="AC10" s="540"/>
      <c r="AD10" s="260">
        <f t="shared" si="10"/>
        <v>0</v>
      </c>
      <c r="AE10" s="539"/>
      <c r="AF10" s="540"/>
      <c r="AG10" s="260">
        <f t="shared" si="11"/>
        <v>0</v>
      </c>
      <c r="AH10" s="539"/>
      <c r="AI10" s="540"/>
      <c r="AJ10" s="260">
        <f t="shared" si="12"/>
        <v>0</v>
      </c>
      <c r="AK10" s="539"/>
      <c r="AL10" s="540"/>
      <c r="AM10" s="260">
        <f t="shared" si="13"/>
        <v>0</v>
      </c>
      <c r="AN10" s="539"/>
      <c r="AO10" s="540"/>
      <c r="AP10" s="260">
        <f t="shared" si="14"/>
        <v>0</v>
      </c>
      <c r="AQ10" s="539"/>
      <c r="AR10" s="540"/>
      <c r="AS10" s="260">
        <f t="shared" si="15"/>
        <v>0</v>
      </c>
      <c r="AT10" s="539"/>
      <c r="AU10" s="540"/>
      <c r="AV10" s="260">
        <f t="shared" si="16"/>
        <v>0</v>
      </c>
      <c r="AW10" s="539"/>
      <c r="AX10" s="540"/>
      <c r="AY10" s="260">
        <f t="shared" si="17"/>
        <v>0</v>
      </c>
      <c r="AZ10" s="539"/>
      <c r="BA10" s="540"/>
      <c r="BB10" s="260">
        <f t="shared" si="18"/>
        <v>0</v>
      </c>
      <c r="BC10" s="539"/>
      <c r="BD10" s="540"/>
      <c r="BE10" s="260">
        <f t="shared" si="19"/>
        <v>0</v>
      </c>
      <c r="BF10" s="539"/>
      <c r="BG10" s="540"/>
      <c r="BH10" s="260">
        <f t="shared" si="20"/>
        <v>0</v>
      </c>
      <c r="BI10" s="539"/>
      <c r="BJ10" s="540"/>
      <c r="BK10" s="260">
        <f t="shared" si="21"/>
        <v>0</v>
      </c>
      <c r="BL10" s="539"/>
      <c r="BM10" s="540"/>
      <c r="BN10" s="260">
        <f t="shared" si="22"/>
        <v>0</v>
      </c>
      <c r="BO10" s="539"/>
      <c r="BP10" s="540"/>
      <c r="BQ10" s="260">
        <f t="shared" si="23"/>
        <v>0</v>
      </c>
      <c r="BR10" s="256"/>
    </row>
    <row r="11" spans="1:70">
      <c r="A11" s="770"/>
      <c r="B11" s="774"/>
      <c r="C11" s="24" t="s">
        <v>170</v>
      </c>
      <c r="D11" s="257">
        <f t="shared" si="0"/>
        <v>0</v>
      </c>
      <c r="E11" s="258">
        <f t="shared" si="1"/>
        <v>0</v>
      </c>
      <c r="F11" s="259">
        <f t="shared" si="2"/>
        <v>0</v>
      </c>
      <c r="G11" s="539"/>
      <c r="H11" s="540"/>
      <c r="I11" s="260">
        <f t="shared" si="3"/>
        <v>0</v>
      </c>
      <c r="J11" s="539"/>
      <c r="K11" s="540"/>
      <c r="L11" s="260">
        <f t="shared" si="4"/>
        <v>0</v>
      </c>
      <c r="M11" s="539"/>
      <c r="N11" s="540"/>
      <c r="O11" s="260">
        <f t="shared" si="5"/>
        <v>0</v>
      </c>
      <c r="P11" s="539"/>
      <c r="Q11" s="540"/>
      <c r="R11" s="260">
        <f t="shared" si="6"/>
        <v>0</v>
      </c>
      <c r="S11" s="539"/>
      <c r="T11" s="540"/>
      <c r="U11" s="260">
        <f t="shared" si="7"/>
        <v>0</v>
      </c>
      <c r="V11" s="539"/>
      <c r="W11" s="540"/>
      <c r="X11" s="260">
        <f t="shared" si="8"/>
        <v>0</v>
      </c>
      <c r="Y11" s="539"/>
      <c r="Z11" s="540"/>
      <c r="AA11" s="260">
        <f t="shared" si="9"/>
        <v>0</v>
      </c>
      <c r="AB11" s="539"/>
      <c r="AC11" s="540"/>
      <c r="AD11" s="260">
        <f t="shared" si="10"/>
        <v>0</v>
      </c>
      <c r="AE11" s="539"/>
      <c r="AF11" s="540"/>
      <c r="AG11" s="260">
        <f t="shared" si="11"/>
        <v>0</v>
      </c>
      <c r="AH11" s="539"/>
      <c r="AI11" s="540"/>
      <c r="AJ11" s="260">
        <f t="shared" si="12"/>
        <v>0</v>
      </c>
      <c r="AK11" s="539"/>
      <c r="AL11" s="540"/>
      <c r="AM11" s="260">
        <f t="shared" si="13"/>
        <v>0</v>
      </c>
      <c r="AN11" s="539"/>
      <c r="AO11" s="540"/>
      <c r="AP11" s="260">
        <f t="shared" si="14"/>
        <v>0</v>
      </c>
      <c r="AQ11" s="539"/>
      <c r="AR11" s="540"/>
      <c r="AS11" s="260">
        <f t="shared" si="15"/>
        <v>0</v>
      </c>
      <c r="AT11" s="539"/>
      <c r="AU11" s="540"/>
      <c r="AV11" s="260">
        <f t="shared" si="16"/>
        <v>0</v>
      </c>
      <c r="AW11" s="539"/>
      <c r="AX11" s="540"/>
      <c r="AY11" s="260">
        <f t="shared" si="17"/>
        <v>0</v>
      </c>
      <c r="AZ11" s="539"/>
      <c r="BA11" s="540"/>
      <c r="BB11" s="260">
        <f t="shared" si="18"/>
        <v>0</v>
      </c>
      <c r="BC11" s="539"/>
      <c r="BD11" s="540"/>
      <c r="BE11" s="260">
        <f t="shared" si="19"/>
        <v>0</v>
      </c>
      <c r="BF11" s="539"/>
      <c r="BG11" s="540"/>
      <c r="BH11" s="260">
        <f t="shared" si="20"/>
        <v>0</v>
      </c>
      <c r="BI11" s="539"/>
      <c r="BJ11" s="540"/>
      <c r="BK11" s="260">
        <f t="shared" si="21"/>
        <v>0</v>
      </c>
      <c r="BL11" s="539"/>
      <c r="BM11" s="540"/>
      <c r="BN11" s="260">
        <f t="shared" si="22"/>
        <v>0</v>
      </c>
      <c r="BO11" s="539"/>
      <c r="BP11" s="540"/>
      <c r="BQ11" s="260">
        <f t="shared" si="23"/>
        <v>0</v>
      </c>
      <c r="BR11" s="256"/>
    </row>
    <row r="12" spans="1:70">
      <c r="A12" s="770"/>
      <c r="B12" s="774"/>
      <c r="C12" s="24" t="s">
        <v>171</v>
      </c>
      <c r="D12" s="257">
        <f t="shared" si="0"/>
        <v>0</v>
      </c>
      <c r="E12" s="258">
        <f t="shared" si="1"/>
        <v>0</v>
      </c>
      <c r="F12" s="259">
        <f t="shared" si="2"/>
        <v>0</v>
      </c>
      <c r="G12" s="539"/>
      <c r="H12" s="540"/>
      <c r="I12" s="260">
        <f t="shared" si="3"/>
        <v>0</v>
      </c>
      <c r="J12" s="539"/>
      <c r="K12" s="540"/>
      <c r="L12" s="260">
        <f t="shared" si="4"/>
        <v>0</v>
      </c>
      <c r="M12" s="539"/>
      <c r="N12" s="540"/>
      <c r="O12" s="260">
        <f t="shared" si="5"/>
        <v>0</v>
      </c>
      <c r="P12" s="539"/>
      <c r="Q12" s="540"/>
      <c r="R12" s="260">
        <f t="shared" si="6"/>
        <v>0</v>
      </c>
      <c r="S12" s="539"/>
      <c r="T12" s="540"/>
      <c r="U12" s="260">
        <f t="shared" si="7"/>
        <v>0</v>
      </c>
      <c r="V12" s="539"/>
      <c r="W12" s="540"/>
      <c r="X12" s="260">
        <f t="shared" si="8"/>
        <v>0</v>
      </c>
      <c r="Y12" s="539"/>
      <c r="Z12" s="540"/>
      <c r="AA12" s="260">
        <f t="shared" si="9"/>
        <v>0</v>
      </c>
      <c r="AB12" s="539"/>
      <c r="AC12" s="540"/>
      <c r="AD12" s="260">
        <f t="shared" si="10"/>
        <v>0</v>
      </c>
      <c r="AE12" s="539"/>
      <c r="AF12" s="540"/>
      <c r="AG12" s="260">
        <f t="shared" si="11"/>
        <v>0</v>
      </c>
      <c r="AH12" s="539"/>
      <c r="AI12" s="540"/>
      <c r="AJ12" s="260">
        <f t="shared" si="12"/>
        <v>0</v>
      </c>
      <c r="AK12" s="539"/>
      <c r="AL12" s="540"/>
      <c r="AM12" s="260">
        <f t="shared" si="13"/>
        <v>0</v>
      </c>
      <c r="AN12" s="539"/>
      <c r="AO12" s="540"/>
      <c r="AP12" s="260">
        <f t="shared" si="14"/>
        <v>0</v>
      </c>
      <c r="AQ12" s="539"/>
      <c r="AR12" s="540"/>
      <c r="AS12" s="260">
        <f t="shared" si="15"/>
        <v>0</v>
      </c>
      <c r="AT12" s="539"/>
      <c r="AU12" s="540"/>
      <c r="AV12" s="260">
        <f t="shared" si="16"/>
        <v>0</v>
      </c>
      <c r="AW12" s="539"/>
      <c r="AX12" s="540"/>
      <c r="AY12" s="260">
        <f t="shared" si="17"/>
        <v>0</v>
      </c>
      <c r="AZ12" s="539"/>
      <c r="BA12" s="540"/>
      <c r="BB12" s="260">
        <f t="shared" si="18"/>
        <v>0</v>
      </c>
      <c r="BC12" s="539"/>
      <c r="BD12" s="540"/>
      <c r="BE12" s="260">
        <f t="shared" si="19"/>
        <v>0</v>
      </c>
      <c r="BF12" s="539"/>
      <c r="BG12" s="540"/>
      <c r="BH12" s="260">
        <f t="shared" si="20"/>
        <v>0</v>
      </c>
      <c r="BI12" s="539"/>
      <c r="BJ12" s="540"/>
      <c r="BK12" s="260">
        <f t="shared" si="21"/>
        <v>0</v>
      </c>
      <c r="BL12" s="539"/>
      <c r="BM12" s="540"/>
      <c r="BN12" s="260">
        <f t="shared" si="22"/>
        <v>0</v>
      </c>
      <c r="BO12" s="539"/>
      <c r="BP12" s="540"/>
      <c r="BQ12" s="260">
        <f t="shared" si="23"/>
        <v>0</v>
      </c>
      <c r="BR12" s="256"/>
    </row>
    <row r="13" spans="1:70">
      <c r="A13" s="770"/>
      <c r="B13" s="774"/>
      <c r="C13" s="24" t="s">
        <v>172</v>
      </c>
      <c r="D13" s="257">
        <f t="shared" si="0"/>
        <v>0</v>
      </c>
      <c r="E13" s="258">
        <f t="shared" si="1"/>
        <v>0</v>
      </c>
      <c r="F13" s="259">
        <f t="shared" si="2"/>
        <v>0</v>
      </c>
      <c r="G13" s="539"/>
      <c r="H13" s="540"/>
      <c r="I13" s="260">
        <f t="shared" si="3"/>
        <v>0</v>
      </c>
      <c r="J13" s="539"/>
      <c r="K13" s="540"/>
      <c r="L13" s="260">
        <f t="shared" si="4"/>
        <v>0</v>
      </c>
      <c r="M13" s="539"/>
      <c r="N13" s="540"/>
      <c r="O13" s="260">
        <f t="shared" si="5"/>
        <v>0</v>
      </c>
      <c r="P13" s="539"/>
      <c r="Q13" s="540"/>
      <c r="R13" s="260">
        <f t="shared" si="6"/>
        <v>0</v>
      </c>
      <c r="S13" s="539"/>
      <c r="T13" s="540"/>
      <c r="U13" s="260">
        <f t="shared" si="7"/>
        <v>0</v>
      </c>
      <c r="V13" s="539"/>
      <c r="W13" s="540"/>
      <c r="X13" s="260">
        <f t="shared" si="8"/>
        <v>0</v>
      </c>
      <c r="Y13" s="539"/>
      <c r="Z13" s="540"/>
      <c r="AA13" s="260">
        <f t="shared" si="9"/>
        <v>0</v>
      </c>
      <c r="AB13" s="539"/>
      <c r="AC13" s="540"/>
      <c r="AD13" s="260">
        <f t="shared" si="10"/>
        <v>0</v>
      </c>
      <c r="AE13" s="539"/>
      <c r="AF13" s="540"/>
      <c r="AG13" s="260">
        <f t="shared" si="11"/>
        <v>0</v>
      </c>
      <c r="AH13" s="539"/>
      <c r="AI13" s="540"/>
      <c r="AJ13" s="260">
        <f t="shared" si="12"/>
        <v>0</v>
      </c>
      <c r="AK13" s="539"/>
      <c r="AL13" s="540"/>
      <c r="AM13" s="260">
        <f t="shared" si="13"/>
        <v>0</v>
      </c>
      <c r="AN13" s="539"/>
      <c r="AO13" s="540"/>
      <c r="AP13" s="260">
        <f t="shared" si="14"/>
        <v>0</v>
      </c>
      <c r="AQ13" s="539"/>
      <c r="AR13" s="540"/>
      <c r="AS13" s="260">
        <f t="shared" si="15"/>
        <v>0</v>
      </c>
      <c r="AT13" s="539"/>
      <c r="AU13" s="540"/>
      <c r="AV13" s="260">
        <f t="shared" si="16"/>
        <v>0</v>
      </c>
      <c r="AW13" s="539"/>
      <c r="AX13" s="540"/>
      <c r="AY13" s="260">
        <f t="shared" si="17"/>
        <v>0</v>
      </c>
      <c r="AZ13" s="539"/>
      <c r="BA13" s="540"/>
      <c r="BB13" s="260">
        <f t="shared" si="18"/>
        <v>0</v>
      </c>
      <c r="BC13" s="539"/>
      <c r="BD13" s="540"/>
      <c r="BE13" s="260">
        <f t="shared" si="19"/>
        <v>0</v>
      </c>
      <c r="BF13" s="539"/>
      <c r="BG13" s="540"/>
      <c r="BH13" s="260">
        <f t="shared" si="20"/>
        <v>0</v>
      </c>
      <c r="BI13" s="539"/>
      <c r="BJ13" s="540"/>
      <c r="BK13" s="260">
        <f t="shared" si="21"/>
        <v>0</v>
      </c>
      <c r="BL13" s="539"/>
      <c r="BM13" s="540"/>
      <c r="BN13" s="260">
        <f t="shared" si="22"/>
        <v>0</v>
      </c>
      <c r="BO13" s="539"/>
      <c r="BP13" s="540"/>
      <c r="BQ13" s="260">
        <f t="shared" si="23"/>
        <v>0</v>
      </c>
      <c r="BR13" s="256"/>
    </row>
    <row r="14" spans="1:70" ht="15.75" thickBot="1">
      <c r="A14" s="771"/>
      <c r="B14" s="775"/>
      <c r="C14" s="261" t="s">
        <v>173</v>
      </c>
      <c r="D14" s="262">
        <f t="shared" si="0"/>
        <v>0</v>
      </c>
      <c r="E14" s="263">
        <f t="shared" si="1"/>
        <v>0</v>
      </c>
      <c r="F14" s="264">
        <f t="shared" si="2"/>
        <v>0</v>
      </c>
      <c r="G14" s="541"/>
      <c r="H14" s="542"/>
      <c r="I14" s="265">
        <f t="shared" si="3"/>
        <v>0</v>
      </c>
      <c r="J14" s="541"/>
      <c r="K14" s="542"/>
      <c r="L14" s="265">
        <f t="shared" si="4"/>
        <v>0</v>
      </c>
      <c r="M14" s="541"/>
      <c r="N14" s="542"/>
      <c r="O14" s="265">
        <f t="shared" si="5"/>
        <v>0</v>
      </c>
      <c r="P14" s="541"/>
      <c r="Q14" s="542"/>
      <c r="R14" s="265">
        <f t="shared" si="6"/>
        <v>0</v>
      </c>
      <c r="S14" s="541"/>
      <c r="T14" s="542"/>
      <c r="U14" s="265">
        <f t="shared" si="7"/>
        <v>0</v>
      </c>
      <c r="V14" s="541"/>
      <c r="W14" s="542"/>
      <c r="X14" s="265">
        <f t="shared" si="8"/>
        <v>0</v>
      </c>
      <c r="Y14" s="541"/>
      <c r="Z14" s="542"/>
      <c r="AA14" s="265">
        <f t="shared" si="9"/>
        <v>0</v>
      </c>
      <c r="AB14" s="541"/>
      <c r="AC14" s="542"/>
      <c r="AD14" s="265">
        <f t="shared" si="10"/>
        <v>0</v>
      </c>
      <c r="AE14" s="541"/>
      <c r="AF14" s="542"/>
      <c r="AG14" s="265">
        <f t="shared" si="11"/>
        <v>0</v>
      </c>
      <c r="AH14" s="541"/>
      <c r="AI14" s="542"/>
      <c r="AJ14" s="265">
        <f t="shared" si="12"/>
        <v>0</v>
      </c>
      <c r="AK14" s="541"/>
      <c r="AL14" s="542"/>
      <c r="AM14" s="265">
        <f t="shared" si="13"/>
        <v>0</v>
      </c>
      <c r="AN14" s="541"/>
      <c r="AO14" s="542"/>
      <c r="AP14" s="265">
        <f t="shared" si="14"/>
        <v>0</v>
      </c>
      <c r="AQ14" s="541"/>
      <c r="AR14" s="542"/>
      <c r="AS14" s="265">
        <f t="shared" si="15"/>
        <v>0</v>
      </c>
      <c r="AT14" s="541"/>
      <c r="AU14" s="542"/>
      <c r="AV14" s="265">
        <f t="shared" si="16"/>
        <v>0</v>
      </c>
      <c r="AW14" s="541"/>
      <c r="AX14" s="542"/>
      <c r="AY14" s="265">
        <f t="shared" si="17"/>
        <v>0</v>
      </c>
      <c r="AZ14" s="541"/>
      <c r="BA14" s="542"/>
      <c r="BB14" s="265">
        <f t="shared" si="18"/>
        <v>0</v>
      </c>
      <c r="BC14" s="541"/>
      <c r="BD14" s="542"/>
      <c r="BE14" s="265">
        <f t="shared" si="19"/>
        <v>0</v>
      </c>
      <c r="BF14" s="541"/>
      <c r="BG14" s="542"/>
      <c r="BH14" s="265">
        <f t="shared" si="20"/>
        <v>0</v>
      </c>
      <c r="BI14" s="541"/>
      <c r="BJ14" s="542"/>
      <c r="BK14" s="265">
        <f t="shared" si="21"/>
        <v>0</v>
      </c>
      <c r="BL14" s="541"/>
      <c r="BM14" s="542"/>
      <c r="BN14" s="265">
        <f t="shared" si="22"/>
        <v>0</v>
      </c>
      <c r="BO14" s="541"/>
      <c r="BP14" s="542"/>
      <c r="BQ14" s="265">
        <f t="shared" si="23"/>
        <v>0</v>
      </c>
      <c r="BR14" s="256"/>
    </row>
    <row r="15" spans="1:70">
      <c r="A15" s="769" t="s">
        <v>212</v>
      </c>
      <c r="B15" s="773" t="s">
        <v>213</v>
      </c>
      <c r="C15" s="249" t="s">
        <v>164</v>
      </c>
      <c r="D15" s="266"/>
      <c r="E15" s="267"/>
      <c r="F15" s="268"/>
      <c r="G15" s="543"/>
      <c r="H15" s="544"/>
      <c r="I15" s="269">
        <f t="shared" si="3"/>
        <v>0</v>
      </c>
      <c r="J15" s="543"/>
      <c r="K15" s="544"/>
      <c r="L15" s="269">
        <f t="shared" si="4"/>
        <v>0</v>
      </c>
      <c r="M15" s="543"/>
      <c r="N15" s="544"/>
      <c r="O15" s="269">
        <f t="shared" si="5"/>
        <v>0</v>
      </c>
      <c r="P15" s="543"/>
      <c r="Q15" s="544"/>
      <c r="R15" s="269">
        <f t="shared" si="6"/>
        <v>0</v>
      </c>
      <c r="S15" s="543"/>
      <c r="T15" s="544"/>
      <c r="U15" s="269">
        <f t="shared" si="7"/>
        <v>0</v>
      </c>
      <c r="V15" s="543"/>
      <c r="W15" s="544"/>
      <c r="X15" s="269">
        <f t="shared" si="8"/>
        <v>0</v>
      </c>
      <c r="Y15" s="543"/>
      <c r="Z15" s="544"/>
      <c r="AA15" s="269">
        <f t="shared" si="9"/>
        <v>0</v>
      </c>
      <c r="AB15" s="543"/>
      <c r="AC15" s="544"/>
      <c r="AD15" s="269">
        <f t="shared" si="10"/>
        <v>0</v>
      </c>
      <c r="AE15" s="543"/>
      <c r="AF15" s="544"/>
      <c r="AG15" s="269">
        <f t="shared" si="11"/>
        <v>0</v>
      </c>
      <c r="AH15" s="543"/>
      <c r="AI15" s="544"/>
      <c r="AJ15" s="269">
        <f t="shared" si="12"/>
        <v>0</v>
      </c>
      <c r="AK15" s="543"/>
      <c r="AL15" s="544"/>
      <c r="AM15" s="269">
        <f t="shared" si="13"/>
        <v>0</v>
      </c>
      <c r="AN15" s="543"/>
      <c r="AO15" s="544"/>
      <c r="AP15" s="269">
        <f t="shared" si="14"/>
        <v>0</v>
      </c>
      <c r="AQ15" s="543"/>
      <c r="AR15" s="544"/>
      <c r="AS15" s="269">
        <f t="shared" si="15"/>
        <v>0</v>
      </c>
      <c r="AT15" s="543"/>
      <c r="AU15" s="544"/>
      <c r="AV15" s="269">
        <f t="shared" si="16"/>
        <v>0</v>
      </c>
      <c r="AW15" s="543"/>
      <c r="AX15" s="544"/>
      <c r="AY15" s="269">
        <f t="shared" si="17"/>
        <v>0</v>
      </c>
      <c r="AZ15" s="543"/>
      <c r="BA15" s="544"/>
      <c r="BB15" s="269">
        <f t="shared" si="18"/>
        <v>0</v>
      </c>
      <c r="BC15" s="543"/>
      <c r="BD15" s="544"/>
      <c r="BE15" s="269">
        <f t="shared" si="19"/>
        <v>0</v>
      </c>
      <c r="BF15" s="543"/>
      <c r="BG15" s="544"/>
      <c r="BH15" s="269">
        <f t="shared" si="20"/>
        <v>0</v>
      </c>
      <c r="BI15" s="543"/>
      <c r="BJ15" s="544"/>
      <c r="BK15" s="269">
        <f t="shared" si="21"/>
        <v>0</v>
      </c>
      <c r="BL15" s="543"/>
      <c r="BM15" s="544"/>
      <c r="BN15" s="269">
        <f t="shared" si="22"/>
        <v>0</v>
      </c>
      <c r="BO15" s="543"/>
      <c r="BP15" s="544"/>
      <c r="BQ15" s="269">
        <f t="shared" si="23"/>
        <v>0</v>
      </c>
      <c r="BR15" s="256"/>
    </row>
    <row r="16" spans="1:70">
      <c r="A16" s="770"/>
      <c r="B16" s="774"/>
      <c r="C16" s="24" t="s">
        <v>165</v>
      </c>
      <c r="D16" s="270"/>
      <c r="E16" s="271"/>
      <c r="F16" s="272"/>
      <c r="G16" s="545"/>
      <c r="H16" s="546"/>
      <c r="I16" s="273">
        <f t="shared" si="3"/>
        <v>0</v>
      </c>
      <c r="J16" s="545"/>
      <c r="K16" s="546"/>
      <c r="L16" s="273">
        <f t="shared" si="4"/>
        <v>0</v>
      </c>
      <c r="M16" s="545"/>
      <c r="N16" s="546"/>
      <c r="O16" s="273">
        <f t="shared" si="5"/>
        <v>0</v>
      </c>
      <c r="P16" s="545"/>
      <c r="Q16" s="546"/>
      <c r="R16" s="273">
        <f t="shared" si="6"/>
        <v>0</v>
      </c>
      <c r="S16" s="545"/>
      <c r="T16" s="546"/>
      <c r="U16" s="273">
        <f t="shared" si="7"/>
        <v>0</v>
      </c>
      <c r="V16" s="545"/>
      <c r="W16" s="546"/>
      <c r="X16" s="273">
        <f t="shared" si="8"/>
        <v>0</v>
      </c>
      <c r="Y16" s="545"/>
      <c r="Z16" s="546"/>
      <c r="AA16" s="273">
        <f t="shared" si="9"/>
        <v>0</v>
      </c>
      <c r="AB16" s="545"/>
      <c r="AC16" s="546"/>
      <c r="AD16" s="273">
        <f t="shared" si="10"/>
        <v>0</v>
      </c>
      <c r="AE16" s="545"/>
      <c r="AF16" s="546"/>
      <c r="AG16" s="273">
        <f t="shared" si="11"/>
        <v>0</v>
      </c>
      <c r="AH16" s="545"/>
      <c r="AI16" s="546"/>
      <c r="AJ16" s="273">
        <f t="shared" si="12"/>
        <v>0</v>
      </c>
      <c r="AK16" s="545"/>
      <c r="AL16" s="546"/>
      <c r="AM16" s="273">
        <f t="shared" si="13"/>
        <v>0</v>
      </c>
      <c r="AN16" s="545"/>
      <c r="AO16" s="546"/>
      <c r="AP16" s="273">
        <f t="shared" si="14"/>
        <v>0</v>
      </c>
      <c r="AQ16" s="545"/>
      <c r="AR16" s="546"/>
      <c r="AS16" s="273">
        <f t="shared" si="15"/>
        <v>0</v>
      </c>
      <c r="AT16" s="545"/>
      <c r="AU16" s="546"/>
      <c r="AV16" s="273">
        <f t="shared" si="16"/>
        <v>0</v>
      </c>
      <c r="AW16" s="545"/>
      <c r="AX16" s="546"/>
      <c r="AY16" s="273">
        <f t="shared" si="17"/>
        <v>0</v>
      </c>
      <c r="AZ16" s="545"/>
      <c r="BA16" s="546"/>
      <c r="BB16" s="273">
        <f t="shared" si="18"/>
        <v>0</v>
      </c>
      <c r="BC16" s="545"/>
      <c r="BD16" s="546"/>
      <c r="BE16" s="273">
        <f t="shared" si="19"/>
        <v>0</v>
      </c>
      <c r="BF16" s="545"/>
      <c r="BG16" s="546"/>
      <c r="BH16" s="273">
        <f t="shared" si="20"/>
        <v>0</v>
      </c>
      <c r="BI16" s="545"/>
      <c r="BJ16" s="546"/>
      <c r="BK16" s="273">
        <f t="shared" si="21"/>
        <v>0</v>
      </c>
      <c r="BL16" s="545"/>
      <c r="BM16" s="546"/>
      <c r="BN16" s="273">
        <f t="shared" si="22"/>
        <v>0</v>
      </c>
      <c r="BO16" s="545"/>
      <c r="BP16" s="546"/>
      <c r="BQ16" s="273">
        <f t="shared" si="23"/>
        <v>0</v>
      </c>
      <c r="BR16" s="256"/>
    </row>
    <row r="17" spans="1:70">
      <c r="A17" s="770"/>
      <c r="B17" s="774"/>
      <c r="C17" s="24" t="s">
        <v>166</v>
      </c>
      <c r="D17" s="270"/>
      <c r="E17" s="271"/>
      <c r="F17" s="272"/>
      <c r="G17" s="545"/>
      <c r="H17" s="546"/>
      <c r="I17" s="273">
        <f t="shared" si="3"/>
        <v>0</v>
      </c>
      <c r="J17" s="545"/>
      <c r="K17" s="546"/>
      <c r="L17" s="273">
        <f t="shared" si="4"/>
        <v>0</v>
      </c>
      <c r="M17" s="545"/>
      <c r="N17" s="546"/>
      <c r="O17" s="273">
        <f t="shared" si="5"/>
        <v>0</v>
      </c>
      <c r="P17" s="545"/>
      <c r="Q17" s="546"/>
      <c r="R17" s="273">
        <f t="shared" si="6"/>
        <v>0</v>
      </c>
      <c r="S17" s="545"/>
      <c r="T17" s="546"/>
      <c r="U17" s="273">
        <f t="shared" si="7"/>
        <v>0</v>
      </c>
      <c r="V17" s="545"/>
      <c r="W17" s="546"/>
      <c r="X17" s="273">
        <f t="shared" si="8"/>
        <v>0</v>
      </c>
      <c r="Y17" s="545"/>
      <c r="Z17" s="546"/>
      <c r="AA17" s="273">
        <f t="shared" si="9"/>
        <v>0</v>
      </c>
      <c r="AB17" s="545"/>
      <c r="AC17" s="546"/>
      <c r="AD17" s="273">
        <f t="shared" si="10"/>
        <v>0</v>
      </c>
      <c r="AE17" s="545"/>
      <c r="AF17" s="546"/>
      <c r="AG17" s="273">
        <f t="shared" si="11"/>
        <v>0</v>
      </c>
      <c r="AH17" s="545"/>
      <c r="AI17" s="546"/>
      <c r="AJ17" s="273">
        <f t="shared" si="12"/>
        <v>0</v>
      </c>
      <c r="AK17" s="545"/>
      <c r="AL17" s="546"/>
      <c r="AM17" s="273">
        <f t="shared" si="13"/>
        <v>0</v>
      </c>
      <c r="AN17" s="545"/>
      <c r="AO17" s="546"/>
      <c r="AP17" s="273">
        <f t="shared" si="14"/>
        <v>0</v>
      </c>
      <c r="AQ17" s="545"/>
      <c r="AR17" s="546"/>
      <c r="AS17" s="273">
        <f t="shared" si="15"/>
        <v>0</v>
      </c>
      <c r="AT17" s="545"/>
      <c r="AU17" s="546"/>
      <c r="AV17" s="273">
        <f t="shared" si="16"/>
        <v>0</v>
      </c>
      <c r="AW17" s="545"/>
      <c r="AX17" s="546"/>
      <c r="AY17" s="273">
        <f t="shared" si="17"/>
        <v>0</v>
      </c>
      <c r="AZ17" s="545"/>
      <c r="BA17" s="546"/>
      <c r="BB17" s="273">
        <f t="shared" si="18"/>
        <v>0</v>
      </c>
      <c r="BC17" s="545"/>
      <c r="BD17" s="546"/>
      <c r="BE17" s="273">
        <f t="shared" si="19"/>
        <v>0</v>
      </c>
      <c r="BF17" s="545"/>
      <c r="BG17" s="546"/>
      <c r="BH17" s="273">
        <f t="shared" si="20"/>
        <v>0</v>
      </c>
      <c r="BI17" s="545"/>
      <c r="BJ17" s="546"/>
      <c r="BK17" s="273">
        <f t="shared" si="21"/>
        <v>0</v>
      </c>
      <c r="BL17" s="545"/>
      <c r="BM17" s="546"/>
      <c r="BN17" s="273">
        <f t="shared" si="22"/>
        <v>0</v>
      </c>
      <c r="BO17" s="545"/>
      <c r="BP17" s="546"/>
      <c r="BQ17" s="273">
        <f t="shared" si="23"/>
        <v>0</v>
      </c>
      <c r="BR17" s="256"/>
    </row>
    <row r="18" spans="1:70">
      <c r="A18" s="770"/>
      <c r="B18" s="774"/>
      <c r="C18" s="24" t="s">
        <v>167</v>
      </c>
      <c r="D18" s="270"/>
      <c r="E18" s="271"/>
      <c r="F18" s="272"/>
      <c r="G18" s="545"/>
      <c r="H18" s="546"/>
      <c r="I18" s="273">
        <f t="shared" si="3"/>
        <v>0</v>
      </c>
      <c r="J18" s="545"/>
      <c r="K18" s="546"/>
      <c r="L18" s="273">
        <f t="shared" si="4"/>
        <v>0</v>
      </c>
      <c r="M18" s="545"/>
      <c r="N18" s="546"/>
      <c r="O18" s="273">
        <f t="shared" si="5"/>
        <v>0</v>
      </c>
      <c r="P18" s="545"/>
      <c r="Q18" s="546"/>
      <c r="R18" s="273">
        <f t="shared" si="6"/>
        <v>0</v>
      </c>
      <c r="S18" s="545"/>
      <c r="T18" s="546"/>
      <c r="U18" s="273">
        <f t="shared" si="7"/>
        <v>0</v>
      </c>
      <c r="V18" s="545"/>
      <c r="W18" s="546"/>
      <c r="X18" s="273">
        <f t="shared" si="8"/>
        <v>0</v>
      </c>
      <c r="Y18" s="545"/>
      <c r="Z18" s="546"/>
      <c r="AA18" s="273">
        <f t="shared" si="9"/>
        <v>0</v>
      </c>
      <c r="AB18" s="545"/>
      <c r="AC18" s="546"/>
      <c r="AD18" s="273">
        <f t="shared" si="10"/>
        <v>0</v>
      </c>
      <c r="AE18" s="545"/>
      <c r="AF18" s="546"/>
      <c r="AG18" s="273">
        <f t="shared" si="11"/>
        <v>0</v>
      </c>
      <c r="AH18" s="545"/>
      <c r="AI18" s="546"/>
      <c r="AJ18" s="273">
        <f t="shared" si="12"/>
        <v>0</v>
      </c>
      <c r="AK18" s="545"/>
      <c r="AL18" s="546"/>
      <c r="AM18" s="273">
        <f t="shared" si="13"/>
        <v>0</v>
      </c>
      <c r="AN18" s="545"/>
      <c r="AO18" s="546"/>
      <c r="AP18" s="273">
        <f t="shared" si="14"/>
        <v>0</v>
      </c>
      <c r="AQ18" s="545"/>
      <c r="AR18" s="546"/>
      <c r="AS18" s="273">
        <f t="shared" si="15"/>
        <v>0</v>
      </c>
      <c r="AT18" s="545"/>
      <c r="AU18" s="546"/>
      <c r="AV18" s="273">
        <f t="shared" si="16"/>
        <v>0</v>
      </c>
      <c r="AW18" s="545"/>
      <c r="AX18" s="546"/>
      <c r="AY18" s="273">
        <f t="shared" si="17"/>
        <v>0</v>
      </c>
      <c r="AZ18" s="545"/>
      <c r="BA18" s="546"/>
      <c r="BB18" s="273">
        <f t="shared" si="18"/>
        <v>0</v>
      </c>
      <c r="BC18" s="545"/>
      <c r="BD18" s="546"/>
      <c r="BE18" s="273">
        <f t="shared" si="19"/>
        <v>0</v>
      </c>
      <c r="BF18" s="545"/>
      <c r="BG18" s="546"/>
      <c r="BH18" s="273">
        <f t="shared" si="20"/>
        <v>0</v>
      </c>
      <c r="BI18" s="545"/>
      <c r="BJ18" s="546"/>
      <c r="BK18" s="273">
        <f t="shared" si="21"/>
        <v>0</v>
      </c>
      <c r="BL18" s="545"/>
      <c r="BM18" s="546"/>
      <c r="BN18" s="273">
        <f t="shared" si="22"/>
        <v>0</v>
      </c>
      <c r="BO18" s="545"/>
      <c r="BP18" s="546"/>
      <c r="BQ18" s="273">
        <f t="shared" si="23"/>
        <v>0</v>
      </c>
      <c r="BR18" s="256"/>
    </row>
    <row r="19" spans="1:70">
      <c r="A19" s="770"/>
      <c r="B19" s="774"/>
      <c r="C19" s="24" t="s">
        <v>168</v>
      </c>
      <c r="D19" s="270"/>
      <c r="E19" s="271"/>
      <c r="F19" s="272"/>
      <c r="G19" s="545"/>
      <c r="H19" s="546"/>
      <c r="I19" s="273">
        <f t="shared" si="3"/>
        <v>0</v>
      </c>
      <c r="J19" s="545"/>
      <c r="K19" s="546"/>
      <c r="L19" s="273">
        <f t="shared" si="4"/>
        <v>0</v>
      </c>
      <c r="M19" s="545"/>
      <c r="N19" s="546"/>
      <c r="O19" s="273">
        <f t="shared" si="5"/>
        <v>0</v>
      </c>
      <c r="P19" s="545"/>
      <c r="Q19" s="546"/>
      <c r="R19" s="273">
        <f t="shared" si="6"/>
        <v>0</v>
      </c>
      <c r="S19" s="545"/>
      <c r="T19" s="546"/>
      <c r="U19" s="273">
        <f t="shared" si="7"/>
        <v>0</v>
      </c>
      <c r="V19" s="545"/>
      <c r="W19" s="546"/>
      <c r="X19" s="273">
        <f t="shared" si="8"/>
        <v>0</v>
      </c>
      <c r="Y19" s="545"/>
      <c r="Z19" s="546"/>
      <c r="AA19" s="273">
        <f t="shared" si="9"/>
        <v>0</v>
      </c>
      <c r="AB19" s="545"/>
      <c r="AC19" s="546"/>
      <c r="AD19" s="273">
        <f t="shared" si="10"/>
        <v>0</v>
      </c>
      <c r="AE19" s="545"/>
      <c r="AF19" s="546"/>
      <c r="AG19" s="273">
        <f t="shared" si="11"/>
        <v>0</v>
      </c>
      <c r="AH19" s="545"/>
      <c r="AI19" s="546"/>
      <c r="AJ19" s="273">
        <f t="shared" si="12"/>
        <v>0</v>
      </c>
      <c r="AK19" s="545"/>
      <c r="AL19" s="546"/>
      <c r="AM19" s="273">
        <f t="shared" si="13"/>
        <v>0</v>
      </c>
      <c r="AN19" s="545"/>
      <c r="AO19" s="546"/>
      <c r="AP19" s="273">
        <f t="shared" si="14"/>
        <v>0</v>
      </c>
      <c r="AQ19" s="545"/>
      <c r="AR19" s="546"/>
      <c r="AS19" s="273">
        <f t="shared" si="15"/>
        <v>0</v>
      </c>
      <c r="AT19" s="545"/>
      <c r="AU19" s="546"/>
      <c r="AV19" s="273">
        <f t="shared" si="16"/>
        <v>0</v>
      </c>
      <c r="AW19" s="545"/>
      <c r="AX19" s="546"/>
      <c r="AY19" s="273">
        <f t="shared" si="17"/>
        <v>0</v>
      </c>
      <c r="AZ19" s="545"/>
      <c r="BA19" s="546"/>
      <c r="BB19" s="273">
        <f t="shared" si="18"/>
        <v>0</v>
      </c>
      <c r="BC19" s="545"/>
      <c r="BD19" s="546"/>
      <c r="BE19" s="273">
        <f t="shared" si="19"/>
        <v>0</v>
      </c>
      <c r="BF19" s="545"/>
      <c r="BG19" s="546"/>
      <c r="BH19" s="273">
        <f t="shared" si="20"/>
        <v>0</v>
      </c>
      <c r="BI19" s="545"/>
      <c r="BJ19" s="546"/>
      <c r="BK19" s="273">
        <f t="shared" si="21"/>
        <v>0</v>
      </c>
      <c r="BL19" s="545"/>
      <c r="BM19" s="546"/>
      <c r="BN19" s="273">
        <f t="shared" si="22"/>
        <v>0</v>
      </c>
      <c r="BO19" s="545"/>
      <c r="BP19" s="546"/>
      <c r="BQ19" s="273">
        <f t="shared" si="23"/>
        <v>0</v>
      </c>
      <c r="BR19" s="256"/>
    </row>
    <row r="20" spans="1:70">
      <c r="A20" s="770"/>
      <c r="B20" s="774"/>
      <c r="C20" s="24" t="s">
        <v>169</v>
      </c>
      <c r="D20" s="270"/>
      <c r="E20" s="271"/>
      <c r="F20" s="272"/>
      <c r="G20" s="545"/>
      <c r="H20" s="546"/>
      <c r="I20" s="273">
        <f t="shared" si="3"/>
        <v>0</v>
      </c>
      <c r="J20" s="545"/>
      <c r="K20" s="546"/>
      <c r="L20" s="273">
        <f t="shared" si="4"/>
        <v>0</v>
      </c>
      <c r="M20" s="545"/>
      <c r="N20" s="546"/>
      <c r="O20" s="273">
        <f t="shared" si="5"/>
        <v>0</v>
      </c>
      <c r="P20" s="545"/>
      <c r="Q20" s="546"/>
      <c r="R20" s="273">
        <f t="shared" si="6"/>
        <v>0</v>
      </c>
      <c r="S20" s="545"/>
      <c r="T20" s="546"/>
      <c r="U20" s="273">
        <f t="shared" si="7"/>
        <v>0</v>
      </c>
      <c r="V20" s="545"/>
      <c r="W20" s="546"/>
      <c r="X20" s="273">
        <f t="shared" si="8"/>
        <v>0</v>
      </c>
      <c r="Y20" s="545"/>
      <c r="Z20" s="546"/>
      <c r="AA20" s="273">
        <f t="shared" si="9"/>
        <v>0</v>
      </c>
      <c r="AB20" s="545"/>
      <c r="AC20" s="546"/>
      <c r="AD20" s="273">
        <f t="shared" si="10"/>
        <v>0</v>
      </c>
      <c r="AE20" s="545"/>
      <c r="AF20" s="546"/>
      <c r="AG20" s="273">
        <f t="shared" si="11"/>
        <v>0</v>
      </c>
      <c r="AH20" s="545"/>
      <c r="AI20" s="546"/>
      <c r="AJ20" s="273">
        <f t="shared" si="12"/>
        <v>0</v>
      </c>
      <c r="AK20" s="545"/>
      <c r="AL20" s="546"/>
      <c r="AM20" s="273">
        <f t="shared" si="13"/>
        <v>0</v>
      </c>
      <c r="AN20" s="545"/>
      <c r="AO20" s="546"/>
      <c r="AP20" s="273">
        <f t="shared" si="14"/>
        <v>0</v>
      </c>
      <c r="AQ20" s="545"/>
      <c r="AR20" s="546"/>
      <c r="AS20" s="273">
        <f t="shared" si="15"/>
        <v>0</v>
      </c>
      <c r="AT20" s="545"/>
      <c r="AU20" s="546"/>
      <c r="AV20" s="273">
        <f t="shared" si="16"/>
        <v>0</v>
      </c>
      <c r="AW20" s="545"/>
      <c r="AX20" s="546"/>
      <c r="AY20" s="273">
        <f t="shared" si="17"/>
        <v>0</v>
      </c>
      <c r="AZ20" s="545"/>
      <c r="BA20" s="546"/>
      <c r="BB20" s="273">
        <f t="shared" si="18"/>
        <v>0</v>
      </c>
      <c r="BC20" s="545"/>
      <c r="BD20" s="546"/>
      <c r="BE20" s="273">
        <f t="shared" si="19"/>
        <v>0</v>
      </c>
      <c r="BF20" s="545"/>
      <c r="BG20" s="546"/>
      <c r="BH20" s="273">
        <f t="shared" si="20"/>
        <v>0</v>
      </c>
      <c r="BI20" s="545"/>
      <c r="BJ20" s="546"/>
      <c r="BK20" s="273">
        <f t="shared" si="21"/>
        <v>0</v>
      </c>
      <c r="BL20" s="545"/>
      <c r="BM20" s="546"/>
      <c r="BN20" s="273">
        <f t="shared" si="22"/>
        <v>0</v>
      </c>
      <c r="BO20" s="545"/>
      <c r="BP20" s="546"/>
      <c r="BQ20" s="273">
        <f t="shared" si="23"/>
        <v>0</v>
      </c>
      <c r="BR20" s="256"/>
    </row>
    <row r="21" spans="1:70">
      <c r="A21" s="770"/>
      <c r="B21" s="774"/>
      <c r="C21" s="24" t="s">
        <v>170</v>
      </c>
      <c r="D21" s="270"/>
      <c r="E21" s="271"/>
      <c r="F21" s="272"/>
      <c r="G21" s="545"/>
      <c r="H21" s="546"/>
      <c r="I21" s="273">
        <f t="shared" si="3"/>
        <v>0</v>
      </c>
      <c r="J21" s="545"/>
      <c r="K21" s="546"/>
      <c r="L21" s="273">
        <f t="shared" si="4"/>
        <v>0</v>
      </c>
      <c r="M21" s="545"/>
      <c r="N21" s="546"/>
      <c r="O21" s="273">
        <f t="shared" si="5"/>
        <v>0</v>
      </c>
      <c r="P21" s="545"/>
      <c r="Q21" s="546"/>
      <c r="R21" s="273">
        <f t="shared" si="6"/>
        <v>0</v>
      </c>
      <c r="S21" s="545"/>
      <c r="T21" s="546"/>
      <c r="U21" s="273">
        <f t="shared" si="7"/>
        <v>0</v>
      </c>
      <c r="V21" s="545"/>
      <c r="W21" s="546"/>
      <c r="X21" s="273">
        <f t="shared" si="8"/>
        <v>0</v>
      </c>
      <c r="Y21" s="545"/>
      <c r="Z21" s="546"/>
      <c r="AA21" s="273">
        <f t="shared" si="9"/>
        <v>0</v>
      </c>
      <c r="AB21" s="545"/>
      <c r="AC21" s="546"/>
      <c r="AD21" s="273">
        <f t="shared" si="10"/>
        <v>0</v>
      </c>
      <c r="AE21" s="545"/>
      <c r="AF21" s="546"/>
      <c r="AG21" s="273">
        <f t="shared" si="11"/>
        <v>0</v>
      </c>
      <c r="AH21" s="545"/>
      <c r="AI21" s="546"/>
      <c r="AJ21" s="273">
        <f t="shared" si="12"/>
        <v>0</v>
      </c>
      <c r="AK21" s="545"/>
      <c r="AL21" s="546"/>
      <c r="AM21" s="273">
        <f t="shared" si="13"/>
        <v>0</v>
      </c>
      <c r="AN21" s="545"/>
      <c r="AO21" s="546"/>
      <c r="AP21" s="273">
        <f t="shared" si="14"/>
        <v>0</v>
      </c>
      <c r="AQ21" s="545"/>
      <c r="AR21" s="546"/>
      <c r="AS21" s="273">
        <f t="shared" si="15"/>
        <v>0</v>
      </c>
      <c r="AT21" s="545"/>
      <c r="AU21" s="546"/>
      <c r="AV21" s="273">
        <f t="shared" si="16"/>
        <v>0</v>
      </c>
      <c r="AW21" s="545"/>
      <c r="AX21" s="546"/>
      <c r="AY21" s="273">
        <f t="shared" si="17"/>
        <v>0</v>
      </c>
      <c r="AZ21" s="545"/>
      <c r="BA21" s="546"/>
      <c r="BB21" s="273">
        <f t="shared" si="18"/>
        <v>0</v>
      </c>
      <c r="BC21" s="545"/>
      <c r="BD21" s="546"/>
      <c r="BE21" s="273">
        <f t="shared" si="19"/>
        <v>0</v>
      </c>
      <c r="BF21" s="545"/>
      <c r="BG21" s="546"/>
      <c r="BH21" s="273">
        <f t="shared" si="20"/>
        <v>0</v>
      </c>
      <c r="BI21" s="545"/>
      <c r="BJ21" s="546"/>
      <c r="BK21" s="273">
        <f t="shared" si="21"/>
        <v>0</v>
      </c>
      <c r="BL21" s="545"/>
      <c r="BM21" s="546"/>
      <c r="BN21" s="273">
        <f t="shared" si="22"/>
        <v>0</v>
      </c>
      <c r="BO21" s="545"/>
      <c r="BP21" s="546"/>
      <c r="BQ21" s="273">
        <f t="shared" si="23"/>
        <v>0</v>
      </c>
      <c r="BR21" s="256"/>
    </row>
    <row r="22" spans="1:70">
      <c r="A22" s="770"/>
      <c r="B22" s="774"/>
      <c r="C22" s="24" t="s">
        <v>171</v>
      </c>
      <c r="D22" s="270"/>
      <c r="E22" s="271"/>
      <c r="F22" s="272"/>
      <c r="G22" s="545"/>
      <c r="H22" s="546"/>
      <c r="I22" s="273">
        <f t="shared" si="3"/>
        <v>0</v>
      </c>
      <c r="J22" s="545"/>
      <c r="K22" s="546"/>
      <c r="L22" s="273">
        <f t="shared" si="4"/>
        <v>0</v>
      </c>
      <c r="M22" s="545"/>
      <c r="N22" s="546"/>
      <c r="O22" s="273">
        <f t="shared" si="5"/>
        <v>0</v>
      </c>
      <c r="P22" s="545"/>
      <c r="Q22" s="546"/>
      <c r="R22" s="273">
        <f t="shared" si="6"/>
        <v>0</v>
      </c>
      <c r="S22" s="545"/>
      <c r="T22" s="546"/>
      <c r="U22" s="273">
        <f t="shared" si="7"/>
        <v>0</v>
      </c>
      <c r="V22" s="545"/>
      <c r="W22" s="546"/>
      <c r="X22" s="273">
        <f t="shared" si="8"/>
        <v>0</v>
      </c>
      <c r="Y22" s="545"/>
      <c r="Z22" s="546"/>
      <c r="AA22" s="273">
        <f t="shared" si="9"/>
        <v>0</v>
      </c>
      <c r="AB22" s="545"/>
      <c r="AC22" s="546"/>
      <c r="AD22" s="273">
        <f t="shared" si="10"/>
        <v>0</v>
      </c>
      <c r="AE22" s="545"/>
      <c r="AF22" s="546"/>
      <c r="AG22" s="273">
        <f t="shared" si="11"/>
        <v>0</v>
      </c>
      <c r="AH22" s="545"/>
      <c r="AI22" s="546"/>
      <c r="AJ22" s="273">
        <f t="shared" si="12"/>
        <v>0</v>
      </c>
      <c r="AK22" s="545"/>
      <c r="AL22" s="546"/>
      <c r="AM22" s="273">
        <f t="shared" si="13"/>
        <v>0</v>
      </c>
      <c r="AN22" s="545"/>
      <c r="AO22" s="546"/>
      <c r="AP22" s="273">
        <f t="shared" si="14"/>
        <v>0</v>
      </c>
      <c r="AQ22" s="545"/>
      <c r="AR22" s="546"/>
      <c r="AS22" s="273">
        <f t="shared" si="15"/>
        <v>0</v>
      </c>
      <c r="AT22" s="545"/>
      <c r="AU22" s="546"/>
      <c r="AV22" s="273">
        <f t="shared" si="16"/>
        <v>0</v>
      </c>
      <c r="AW22" s="545"/>
      <c r="AX22" s="546"/>
      <c r="AY22" s="273">
        <f t="shared" si="17"/>
        <v>0</v>
      </c>
      <c r="AZ22" s="545"/>
      <c r="BA22" s="546"/>
      <c r="BB22" s="273">
        <f t="shared" si="18"/>
        <v>0</v>
      </c>
      <c r="BC22" s="545"/>
      <c r="BD22" s="546"/>
      <c r="BE22" s="273">
        <f t="shared" si="19"/>
        <v>0</v>
      </c>
      <c r="BF22" s="545"/>
      <c r="BG22" s="546"/>
      <c r="BH22" s="273">
        <f t="shared" si="20"/>
        <v>0</v>
      </c>
      <c r="BI22" s="545"/>
      <c r="BJ22" s="546"/>
      <c r="BK22" s="273">
        <f t="shared" si="21"/>
        <v>0</v>
      </c>
      <c r="BL22" s="545"/>
      <c r="BM22" s="546"/>
      <c r="BN22" s="273">
        <f t="shared" si="22"/>
        <v>0</v>
      </c>
      <c r="BO22" s="545"/>
      <c r="BP22" s="546"/>
      <c r="BQ22" s="273">
        <f t="shared" si="23"/>
        <v>0</v>
      </c>
      <c r="BR22" s="256"/>
    </row>
    <row r="23" spans="1:70">
      <c r="A23" s="770"/>
      <c r="B23" s="774"/>
      <c r="C23" s="24" t="s">
        <v>172</v>
      </c>
      <c r="D23" s="270"/>
      <c r="E23" s="271"/>
      <c r="F23" s="272"/>
      <c r="G23" s="545"/>
      <c r="H23" s="546"/>
      <c r="I23" s="273">
        <f t="shared" si="3"/>
        <v>0</v>
      </c>
      <c r="J23" s="545"/>
      <c r="K23" s="546"/>
      <c r="L23" s="273">
        <f t="shared" si="4"/>
        <v>0</v>
      </c>
      <c r="M23" s="545"/>
      <c r="N23" s="546"/>
      <c r="O23" s="273">
        <f t="shared" si="5"/>
        <v>0</v>
      </c>
      <c r="P23" s="545"/>
      <c r="Q23" s="546"/>
      <c r="R23" s="273">
        <f t="shared" si="6"/>
        <v>0</v>
      </c>
      <c r="S23" s="545"/>
      <c r="T23" s="546"/>
      <c r="U23" s="273">
        <f t="shared" si="7"/>
        <v>0</v>
      </c>
      <c r="V23" s="545"/>
      <c r="W23" s="546"/>
      <c r="X23" s="273">
        <f t="shared" si="8"/>
        <v>0</v>
      </c>
      <c r="Y23" s="545"/>
      <c r="Z23" s="546"/>
      <c r="AA23" s="273">
        <f t="shared" si="9"/>
        <v>0</v>
      </c>
      <c r="AB23" s="545"/>
      <c r="AC23" s="546"/>
      <c r="AD23" s="273">
        <f t="shared" si="10"/>
        <v>0</v>
      </c>
      <c r="AE23" s="545"/>
      <c r="AF23" s="546"/>
      <c r="AG23" s="273">
        <f t="shared" si="11"/>
        <v>0</v>
      </c>
      <c r="AH23" s="545"/>
      <c r="AI23" s="546"/>
      <c r="AJ23" s="273">
        <f t="shared" si="12"/>
        <v>0</v>
      </c>
      <c r="AK23" s="545"/>
      <c r="AL23" s="546"/>
      <c r="AM23" s="273">
        <f t="shared" si="13"/>
        <v>0</v>
      </c>
      <c r="AN23" s="545"/>
      <c r="AO23" s="546"/>
      <c r="AP23" s="273">
        <f t="shared" si="14"/>
        <v>0</v>
      </c>
      <c r="AQ23" s="545"/>
      <c r="AR23" s="546"/>
      <c r="AS23" s="273">
        <f t="shared" si="15"/>
        <v>0</v>
      </c>
      <c r="AT23" s="545"/>
      <c r="AU23" s="546"/>
      <c r="AV23" s="273">
        <f t="shared" si="16"/>
        <v>0</v>
      </c>
      <c r="AW23" s="545"/>
      <c r="AX23" s="546"/>
      <c r="AY23" s="273">
        <f t="shared" si="17"/>
        <v>0</v>
      </c>
      <c r="AZ23" s="545"/>
      <c r="BA23" s="546"/>
      <c r="BB23" s="273">
        <f t="shared" si="18"/>
        <v>0</v>
      </c>
      <c r="BC23" s="545"/>
      <c r="BD23" s="546"/>
      <c r="BE23" s="273">
        <f t="shared" si="19"/>
        <v>0</v>
      </c>
      <c r="BF23" s="545"/>
      <c r="BG23" s="546"/>
      <c r="BH23" s="273">
        <f t="shared" si="20"/>
        <v>0</v>
      </c>
      <c r="BI23" s="545"/>
      <c r="BJ23" s="546"/>
      <c r="BK23" s="273">
        <f t="shared" si="21"/>
        <v>0</v>
      </c>
      <c r="BL23" s="545"/>
      <c r="BM23" s="546"/>
      <c r="BN23" s="273">
        <f t="shared" si="22"/>
        <v>0</v>
      </c>
      <c r="BO23" s="545"/>
      <c r="BP23" s="546"/>
      <c r="BQ23" s="273">
        <f t="shared" si="23"/>
        <v>0</v>
      </c>
      <c r="BR23" s="256"/>
    </row>
    <row r="24" spans="1:70" ht="15.75" thickBot="1">
      <c r="A24" s="771"/>
      <c r="B24" s="775"/>
      <c r="C24" s="261" t="s">
        <v>173</v>
      </c>
      <c r="D24" s="274"/>
      <c r="E24" s="275"/>
      <c r="F24" s="276"/>
      <c r="G24" s="547"/>
      <c r="H24" s="548"/>
      <c r="I24" s="277">
        <f t="shared" si="3"/>
        <v>0</v>
      </c>
      <c r="J24" s="547"/>
      <c r="K24" s="548"/>
      <c r="L24" s="277">
        <f t="shared" si="4"/>
        <v>0</v>
      </c>
      <c r="M24" s="547"/>
      <c r="N24" s="548"/>
      <c r="O24" s="277">
        <f t="shared" si="5"/>
        <v>0</v>
      </c>
      <c r="P24" s="547"/>
      <c r="Q24" s="548"/>
      <c r="R24" s="277">
        <f t="shared" si="6"/>
        <v>0</v>
      </c>
      <c r="S24" s="547"/>
      <c r="T24" s="548"/>
      <c r="U24" s="277">
        <f t="shared" si="7"/>
        <v>0</v>
      </c>
      <c r="V24" s="547"/>
      <c r="W24" s="548"/>
      <c r="X24" s="277">
        <f t="shared" si="8"/>
        <v>0</v>
      </c>
      <c r="Y24" s="547"/>
      <c r="Z24" s="548"/>
      <c r="AA24" s="277">
        <f t="shared" si="9"/>
        <v>0</v>
      </c>
      <c r="AB24" s="547"/>
      <c r="AC24" s="548"/>
      <c r="AD24" s="277">
        <f t="shared" si="10"/>
        <v>0</v>
      </c>
      <c r="AE24" s="547"/>
      <c r="AF24" s="548"/>
      <c r="AG24" s="277">
        <f t="shared" si="11"/>
        <v>0</v>
      </c>
      <c r="AH24" s="547"/>
      <c r="AI24" s="548"/>
      <c r="AJ24" s="277">
        <f t="shared" si="12"/>
        <v>0</v>
      </c>
      <c r="AK24" s="547"/>
      <c r="AL24" s="548"/>
      <c r="AM24" s="277">
        <f t="shared" si="13"/>
        <v>0</v>
      </c>
      <c r="AN24" s="547"/>
      <c r="AO24" s="548"/>
      <c r="AP24" s="277">
        <f t="shared" si="14"/>
        <v>0</v>
      </c>
      <c r="AQ24" s="547"/>
      <c r="AR24" s="548"/>
      <c r="AS24" s="277">
        <f t="shared" si="15"/>
        <v>0</v>
      </c>
      <c r="AT24" s="547"/>
      <c r="AU24" s="548"/>
      <c r="AV24" s="277">
        <f t="shared" si="16"/>
        <v>0</v>
      </c>
      <c r="AW24" s="547"/>
      <c r="AX24" s="548"/>
      <c r="AY24" s="277">
        <f t="shared" si="17"/>
        <v>0</v>
      </c>
      <c r="AZ24" s="547"/>
      <c r="BA24" s="548"/>
      <c r="BB24" s="277">
        <f t="shared" si="18"/>
        <v>0</v>
      </c>
      <c r="BC24" s="547"/>
      <c r="BD24" s="548"/>
      <c r="BE24" s="277">
        <f t="shared" si="19"/>
        <v>0</v>
      </c>
      <c r="BF24" s="547"/>
      <c r="BG24" s="548"/>
      <c r="BH24" s="277">
        <f t="shared" si="20"/>
        <v>0</v>
      </c>
      <c r="BI24" s="547"/>
      <c r="BJ24" s="548"/>
      <c r="BK24" s="277">
        <f t="shared" si="21"/>
        <v>0</v>
      </c>
      <c r="BL24" s="547"/>
      <c r="BM24" s="548"/>
      <c r="BN24" s="277">
        <f t="shared" si="22"/>
        <v>0</v>
      </c>
      <c r="BO24" s="547"/>
      <c r="BP24" s="548"/>
      <c r="BQ24" s="277">
        <f t="shared" si="23"/>
        <v>0</v>
      </c>
      <c r="BR24" s="256"/>
    </row>
    <row r="25" spans="1:70" s="279" customFormat="1" ht="14.25" customHeight="1">
      <c r="A25" s="769" t="s">
        <v>214</v>
      </c>
      <c r="B25" s="773" t="s">
        <v>213</v>
      </c>
      <c r="C25" s="249" t="s">
        <v>164</v>
      </c>
      <c r="D25" s="266"/>
      <c r="E25" s="267"/>
      <c r="F25" s="268"/>
      <c r="G25" s="543"/>
      <c r="H25" s="544"/>
      <c r="I25" s="269">
        <f>H25-G25</f>
        <v>0</v>
      </c>
      <c r="J25" s="543"/>
      <c r="K25" s="544"/>
      <c r="L25" s="269">
        <f>K25-J25</f>
        <v>0</v>
      </c>
      <c r="M25" s="543"/>
      <c r="N25" s="544"/>
      <c r="O25" s="269">
        <f>N25-M25</f>
        <v>0</v>
      </c>
      <c r="P25" s="543"/>
      <c r="Q25" s="544"/>
      <c r="R25" s="269">
        <f>Q25-P25</f>
        <v>0</v>
      </c>
      <c r="S25" s="543"/>
      <c r="T25" s="544"/>
      <c r="U25" s="269">
        <f>T25-S25</f>
        <v>0</v>
      </c>
      <c r="V25" s="543"/>
      <c r="W25" s="544"/>
      <c r="X25" s="269">
        <f>W25-V25</f>
        <v>0</v>
      </c>
      <c r="Y25" s="543"/>
      <c r="Z25" s="544"/>
      <c r="AA25" s="269">
        <f>Z25-Y25</f>
        <v>0</v>
      </c>
      <c r="AB25" s="543"/>
      <c r="AC25" s="544"/>
      <c r="AD25" s="269">
        <f>AC25-AB25</f>
        <v>0</v>
      </c>
      <c r="AE25" s="543"/>
      <c r="AF25" s="544"/>
      <c r="AG25" s="269">
        <f>AF25-AE25</f>
        <v>0</v>
      </c>
      <c r="AH25" s="543"/>
      <c r="AI25" s="544"/>
      <c r="AJ25" s="269">
        <f>AI25-AH25</f>
        <v>0</v>
      </c>
      <c r="AK25" s="543"/>
      <c r="AL25" s="544"/>
      <c r="AM25" s="269">
        <f>AL25-AK25</f>
        <v>0</v>
      </c>
      <c r="AN25" s="543"/>
      <c r="AO25" s="544"/>
      <c r="AP25" s="269">
        <f>AO25-AN25</f>
        <v>0</v>
      </c>
      <c r="AQ25" s="543"/>
      <c r="AR25" s="544"/>
      <c r="AS25" s="269">
        <f>AR25-AQ25</f>
        <v>0</v>
      </c>
      <c r="AT25" s="543"/>
      <c r="AU25" s="544"/>
      <c r="AV25" s="269">
        <f>AU25-AT25</f>
        <v>0</v>
      </c>
      <c r="AW25" s="543"/>
      <c r="AX25" s="544"/>
      <c r="AY25" s="269">
        <f>AX25-AW25</f>
        <v>0</v>
      </c>
      <c r="AZ25" s="543"/>
      <c r="BA25" s="544"/>
      <c r="BB25" s="269">
        <f>BA25-AZ25</f>
        <v>0</v>
      </c>
      <c r="BC25" s="543"/>
      <c r="BD25" s="544"/>
      <c r="BE25" s="269">
        <f>BD25-BC25</f>
        <v>0</v>
      </c>
      <c r="BF25" s="543"/>
      <c r="BG25" s="544"/>
      <c r="BH25" s="269">
        <f>BG25-BF25</f>
        <v>0</v>
      </c>
      <c r="BI25" s="543"/>
      <c r="BJ25" s="544"/>
      <c r="BK25" s="269">
        <f>BJ25-BI25</f>
        <v>0</v>
      </c>
      <c r="BL25" s="543"/>
      <c r="BM25" s="544"/>
      <c r="BN25" s="269">
        <f>BM25-BL25</f>
        <v>0</v>
      </c>
      <c r="BO25" s="543"/>
      <c r="BP25" s="544"/>
      <c r="BQ25" s="269">
        <f>BP25-BO25</f>
        <v>0</v>
      </c>
      <c r="BR25" s="278"/>
    </row>
    <row r="26" spans="1:70">
      <c r="A26" s="770"/>
      <c r="B26" s="774"/>
      <c r="C26" s="24" t="s">
        <v>165</v>
      </c>
      <c r="D26" s="270"/>
      <c r="E26" s="271"/>
      <c r="F26" s="272"/>
      <c r="G26" s="545"/>
      <c r="H26" s="546"/>
      <c r="I26" s="273">
        <f t="shared" ref="I26:I43" si="24">H26-G26</f>
        <v>0</v>
      </c>
      <c r="J26" s="545"/>
      <c r="K26" s="546"/>
      <c r="L26" s="273">
        <f t="shared" ref="L26:L43" si="25">K26-J26</f>
        <v>0</v>
      </c>
      <c r="M26" s="545"/>
      <c r="N26" s="546"/>
      <c r="O26" s="273">
        <f t="shared" ref="O26:O43" si="26">N26-M26</f>
        <v>0</v>
      </c>
      <c r="P26" s="545"/>
      <c r="Q26" s="546"/>
      <c r="R26" s="273">
        <f t="shared" ref="R26:R43" si="27">Q26-P26</f>
        <v>0</v>
      </c>
      <c r="S26" s="545"/>
      <c r="T26" s="546"/>
      <c r="U26" s="273">
        <f t="shared" ref="U26:U43" si="28">T26-S26</f>
        <v>0</v>
      </c>
      <c r="V26" s="545"/>
      <c r="W26" s="546"/>
      <c r="X26" s="273">
        <f t="shared" ref="X26:X43" si="29">W26-V26</f>
        <v>0</v>
      </c>
      <c r="Y26" s="545"/>
      <c r="Z26" s="546"/>
      <c r="AA26" s="273">
        <f t="shared" ref="AA26:AA43" si="30">Z26-Y26</f>
        <v>0</v>
      </c>
      <c r="AB26" s="545"/>
      <c r="AC26" s="546"/>
      <c r="AD26" s="273">
        <f t="shared" ref="AD26:AD43" si="31">AC26-AB26</f>
        <v>0</v>
      </c>
      <c r="AE26" s="545"/>
      <c r="AF26" s="546"/>
      <c r="AG26" s="273">
        <f t="shared" ref="AG26:AG43" si="32">AF26-AE26</f>
        <v>0</v>
      </c>
      <c r="AH26" s="545"/>
      <c r="AI26" s="546"/>
      <c r="AJ26" s="273">
        <f t="shared" ref="AJ26:AJ43" si="33">AI26-AH26</f>
        <v>0</v>
      </c>
      <c r="AK26" s="545"/>
      <c r="AL26" s="546"/>
      <c r="AM26" s="273">
        <f t="shared" ref="AM26:AM43" si="34">AL26-AK26</f>
        <v>0</v>
      </c>
      <c r="AN26" s="545"/>
      <c r="AO26" s="546"/>
      <c r="AP26" s="273">
        <f t="shared" ref="AP26:AP43" si="35">AO26-AN26</f>
        <v>0</v>
      </c>
      <c r="AQ26" s="545"/>
      <c r="AR26" s="546"/>
      <c r="AS26" s="273">
        <f t="shared" ref="AS26:AS43" si="36">AR26-AQ26</f>
        <v>0</v>
      </c>
      <c r="AT26" s="545"/>
      <c r="AU26" s="546"/>
      <c r="AV26" s="273">
        <f t="shared" ref="AV26:AV43" si="37">AU26-AT26</f>
        <v>0</v>
      </c>
      <c r="AW26" s="545"/>
      <c r="AX26" s="546"/>
      <c r="AY26" s="273">
        <f t="shared" ref="AY26:AY43" si="38">AX26-AW26</f>
        <v>0</v>
      </c>
      <c r="AZ26" s="545"/>
      <c r="BA26" s="546"/>
      <c r="BB26" s="273">
        <f t="shared" ref="BB26:BB43" si="39">BA26-AZ26</f>
        <v>0</v>
      </c>
      <c r="BC26" s="545"/>
      <c r="BD26" s="546"/>
      <c r="BE26" s="273">
        <f t="shared" ref="BE26:BE43" si="40">BD26-BC26</f>
        <v>0</v>
      </c>
      <c r="BF26" s="545"/>
      <c r="BG26" s="546"/>
      <c r="BH26" s="273">
        <f t="shared" ref="BH26:BH43" si="41">BG26-BF26</f>
        <v>0</v>
      </c>
      <c r="BI26" s="545"/>
      <c r="BJ26" s="546"/>
      <c r="BK26" s="273">
        <f t="shared" ref="BK26:BK43" si="42">BJ26-BI26</f>
        <v>0</v>
      </c>
      <c r="BL26" s="545"/>
      <c r="BM26" s="546"/>
      <c r="BN26" s="273">
        <f t="shared" ref="BN26:BN43" si="43">BM26-BL26</f>
        <v>0</v>
      </c>
      <c r="BO26" s="545"/>
      <c r="BP26" s="546"/>
      <c r="BQ26" s="273">
        <f t="shared" ref="BQ26:BQ53" si="44">BP26-BO26</f>
        <v>0</v>
      </c>
    </row>
    <row r="27" spans="1:70">
      <c r="A27" s="770"/>
      <c r="B27" s="774"/>
      <c r="C27" s="24" t="s">
        <v>166</v>
      </c>
      <c r="D27" s="270"/>
      <c r="E27" s="271"/>
      <c r="F27" s="272"/>
      <c r="G27" s="545"/>
      <c r="H27" s="546"/>
      <c r="I27" s="273">
        <f t="shared" si="24"/>
        <v>0</v>
      </c>
      <c r="J27" s="545"/>
      <c r="K27" s="546"/>
      <c r="L27" s="273">
        <f t="shared" si="25"/>
        <v>0</v>
      </c>
      <c r="M27" s="545"/>
      <c r="N27" s="546"/>
      <c r="O27" s="273">
        <f t="shared" si="26"/>
        <v>0</v>
      </c>
      <c r="P27" s="545"/>
      <c r="Q27" s="546"/>
      <c r="R27" s="273">
        <f t="shared" si="27"/>
        <v>0</v>
      </c>
      <c r="S27" s="545"/>
      <c r="T27" s="546"/>
      <c r="U27" s="273">
        <f t="shared" si="28"/>
        <v>0</v>
      </c>
      <c r="V27" s="545"/>
      <c r="W27" s="546"/>
      <c r="X27" s="273">
        <f t="shared" si="29"/>
        <v>0</v>
      </c>
      <c r="Y27" s="545"/>
      <c r="Z27" s="546"/>
      <c r="AA27" s="273">
        <f t="shared" si="30"/>
        <v>0</v>
      </c>
      <c r="AB27" s="545"/>
      <c r="AC27" s="546"/>
      <c r="AD27" s="273">
        <f t="shared" si="31"/>
        <v>0</v>
      </c>
      <c r="AE27" s="545"/>
      <c r="AF27" s="546"/>
      <c r="AG27" s="273">
        <f t="shared" si="32"/>
        <v>0</v>
      </c>
      <c r="AH27" s="545"/>
      <c r="AI27" s="546"/>
      <c r="AJ27" s="273">
        <f t="shared" si="33"/>
        <v>0</v>
      </c>
      <c r="AK27" s="545"/>
      <c r="AL27" s="546"/>
      <c r="AM27" s="273">
        <f t="shared" si="34"/>
        <v>0</v>
      </c>
      <c r="AN27" s="545"/>
      <c r="AO27" s="546"/>
      <c r="AP27" s="273">
        <f t="shared" si="35"/>
        <v>0</v>
      </c>
      <c r="AQ27" s="545"/>
      <c r="AR27" s="546"/>
      <c r="AS27" s="273">
        <f t="shared" si="36"/>
        <v>0</v>
      </c>
      <c r="AT27" s="545"/>
      <c r="AU27" s="546"/>
      <c r="AV27" s="273">
        <f t="shared" si="37"/>
        <v>0</v>
      </c>
      <c r="AW27" s="545"/>
      <c r="AX27" s="546"/>
      <c r="AY27" s="273">
        <f t="shared" si="38"/>
        <v>0</v>
      </c>
      <c r="AZ27" s="545"/>
      <c r="BA27" s="546"/>
      <c r="BB27" s="273">
        <f t="shared" si="39"/>
        <v>0</v>
      </c>
      <c r="BC27" s="545"/>
      <c r="BD27" s="546"/>
      <c r="BE27" s="273">
        <f t="shared" si="40"/>
        <v>0</v>
      </c>
      <c r="BF27" s="545"/>
      <c r="BG27" s="546"/>
      <c r="BH27" s="273">
        <f t="shared" si="41"/>
        <v>0</v>
      </c>
      <c r="BI27" s="545"/>
      <c r="BJ27" s="546"/>
      <c r="BK27" s="273">
        <f t="shared" si="42"/>
        <v>0</v>
      </c>
      <c r="BL27" s="545"/>
      <c r="BM27" s="546"/>
      <c r="BN27" s="273">
        <f t="shared" si="43"/>
        <v>0</v>
      </c>
      <c r="BO27" s="545"/>
      <c r="BP27" s="546"/>
      <c r="BQ27" s="273">
        <f t="shared" si="44"/>
        <v>0</v>
      </c>
    </row>
    <row r="28" spans="1:70">
      <c r="A28" s="770"/>
      <c r="B28" s="774"/>
      <c r="C28" s="24" t="s">
        <v>167</v>
      </c>
      <c r="D28" s="270"/>
      <c r="E28" s="271"/>
      <c r="F28" s="272"/>
      <c r="G28" s="545"/>
      <c r="H28" s="546"/>
      <c r="I28" s="273">
        <f t="shared" si="24"/>
        <v>0</v>
      </c>
      <c r="J28" s="545"/>
      <c r="K28" s="546"/>
      <c r="L28" s="273">
        <f t="shared" si="25"/>
        <v>0</v>
      </c>
      <c r="M28" s="545"/>
      <c r="N28" s="546"/>
      <c r="O28" s="273">
        <f t="shared" si="26"/>
        <v>0</v>
      </c>
      <c r="P28" s="545"/>
      <c r="Q28" s="546"/>
      <c r="R28" s="273">
        <f t="shared" si="27"/>
        <v>0</v>
      </c>
      <c r="S28" s="545"/>
      <c r="T28" s="546"/>
      <c r="U28" s="273">
        <f t="shared" si="28"/>
        <v>0</v>
      </c>
      <c r="V28" s="545"/>
      <c r="W28" s="546"/>
      <c r="X28" s="273">
        <f t="shared" si="29"/>
        <v>0</v>
      </c>
      <c r="Y28" s="545"/>
      <c r="Z28" s="546"/>
      <c r="AA28" s="273">
        <f t="shared" si="30"/>
        <v>0</v>
      </c>
      <c r="AB28" s="545"/>
      <c r="AC28" s="546"/>
      <c r="AD28" s="273">
        <f t="shared" si="31"/>
        <v>0</v>
      </c>
      <c r="AE28" s="545"/>
      <c r="AF28" s="546"/>
      <c r="AG28" s="273">
        <f t="shared" si="32"/>
        <v>0</v>
      </c>
      <c r="AH28" s="545"/>
      <c r="AI28" s="546"/>
      <c r="AJ28" s="273">
        <f t="shared" si="33"/>
        <v>0</v>
      </c>
      <c r="AK28" s="545"/>
      <c r="AL28" s="546"/>
      <c r="AM28" s="273">
        <f t="shared" si="34"/>
        <v>0</v>
      </c>
      <c r="AN28" s="545"/>
      <c r="AO28" s="546"/>
      <c r="AP28" s="273">
        <f t="shared" si="35"/>
        <v>0</v>
      </c>
      <c r="AQ28" s="545"/>
      <c r="AR28" s="546"/>
      <c r="AS28" s="273">
        <f t="shared" si="36"/>
        <v>0</v>
      </c>
      <c r="AT28" s="545"/>
      <c r="AU28" s="546"/>
      <c r="AV28" s="273">
        <f t="shared" si="37"/>
        <v>0</v>
      </c>
      <c r="AW28" s="545"/>
      <c r="AX28" s="546"/>
      <c r="AY28" s="273">
        <f t="shared" si="38"/>
        <v>0</v>
      </c>
      <c r="AZ28" s="545"/>
      <c r="BA28" s="546"/>
      <c r="BB28" s="273">
        <f t="shared" si="39"/>
        <v>0</v>
      </c>
      <c r="BC28" s="545"/>
      <c r="BD28" s="546"/>
      <c r="BE28" s="273">
        <f t="shared" si="40"/>
        <v>0</v>
      </c>
      <c r="BF28" s="545"/>
      <c r="BG28" s="546"/>
      <c r="BH28" s="273">
        <f t="shared" si="41"/>
        <v>0</v>
      </c>
      <c r="BI28" s="545"/>
      <c r="BJ28" s="546"/>
      <c r="BK28" s="273">
        <f t="shared" si="42"/>
        <v>0</v>
      </c>
      <c r="BL28" s="545"/>
      <c r="BM28" s="546"/>
      <c r="BN28" s="273">
        <f t="shared" si="43"/>
        <v>0</v>
      </c>
      <c r="BO28" s="545"/>
      <c r="BP28" s="546"/>
      <c r="BQ28" s="273">
        <f t="shared" si="44"/>
        <v>0</v>
      </c>
    </row>
    <row r="29" spans="1:70">
      <c r="A29" s="770"/>
      <c r="B29" s="774"/>
      <c r="C29" s="24" t="s">
        <v>168</v>
      </c>
      <c r="D29" s="270"/>
      <c r="E29" s="271"/>
      <c r="F29" s="272"/>
      <c r="G29" s="545"/>
      <c r="H29" s="546"/>
      <c r="I29" s="273">
        <f t="shared" si="24"/>
        <v>0</v>
      </c>
      <c r="J29" s="545"/>
      <c r="K29" s="546"/>
      <c r="L29" s="273">
        <f t="shared" si="25"/>
        <v>0</v>
      </c>
      <c r="M29" s="545"/>
      <c r="N29" s="546"/>
      <c r="O29" s="273">
        <f t="shared" si="26"/>
        <v>0</v>
      </c>
      <c r="P29" s="545"/>
      <c r="Q29" s="546"/>
      <c r="R29" s="273">
        <f t="shared" si="27"/>
        <v>0</v>
      </c>
      <c r="S29" s="545"/>
      <c r="T29" s="546"/>
      <c r="U29" s="273">
        <f t="shared" si="28"/>
        <v>0</v>
      </c>
      <c r="V29" s="545"/>
      <c r="W29" s="546"/>
      <c r="X29" s="273">
        <f t="shared" si="29"/>
        <v>0</v>
      </c>
      <c r="Y29" s="545"/>
      <c r="Z29" s="546"/>
      <c r="AA29" s="273">
        <f t="shared" si="30"/>
        <v>0</v>
      </c>
      <c r="AB29" s="545"/>
      <c r="AC29" s="546"/>
      <c r="AD29" s="273">
        <f t="shared" si="31"/>
        <v>0</v>
      </c>
      <c r="AE29" s="545"/>
      <c r="AF29" s="546"/>
      <c r="AG29" s="273">
        <f t="shared" si="32"/>
        <v>0</v>
      </c>
      <c r="AH29" s="545"/>
      <c r="AI29" s="546"/>
      <c r="AJ29" s="273">
        <f t="shared" si="33"/>
        <v>0</v>
      </c>
      <c r="AK29" s="545"/>
      <c r="AL29" s="546"/>
      <c r="AM29" s="273">
        <f t="shared" si="34"/>
        <v>0</v>
      </c>
      <c r="AN29" s="545"/>
      <c r="AO29" s="546"/>
      <c r="AP29" s="273">
        <f t="shared" si="35"/>
        <v>0</v>
      </c>
      <c r="AQ29" s="545"/>
      <c r="AR29" s="546"/>
      <c r="AS29" s="273">
        <f t="shared" si="36"/>
        <v>0</v>
      </c>
      <c r="AT29" s="545"/>
      <c r="AU29" s="546"/>
      <c r="AV29" s="273">
        <f t="shared" si="37"/>
        <v>0</v>
      </c>
      <c r="AW29" s="545"/>
      <c r="AX29" s="546"/>
      <c r="AY29" s="273">
        <f t="shared" si="38"/>
        <v>0</v>
      </c>
      <c r="AZ29" s="545"/>
      <c r="BA29" s="546"/>
      <c r="BB29" s="273">
        <f t="shared" si="39"/>
        <v>0</v>
      </c>
      <c r="BC29" s="545"/>
      <c r="BD29" s="546"/>
      <c r="BE29" s="273">
        <f t="shared" si="40"/>
        <v>0</v>
      </c>
      <c r="BF29" s="545"/>
      <c r="BG29" s="546"/>
      <c r="BH29" s="273">
        <f t="shared" si="41"/>
        <v>0</v>
      </c>
      <c r="BI29" s="545"/>
      <c r="BJ29" s="546"/>
      <c r="BK29" s="273">
        <f t="shared" si="42"/>
        <v>0</v>
      </c>
      <c r="BL29" s="545"/>
      <c r="BM29" s="546"/>
      <c r="BN29" s="273">
        <f t="shared" si="43"/>
        <v>0</v>
      </c>
      <c r="BO29" s="545"/>
      <c r="BP29" s="546"/>
      <c r="BQ29" s="273">
        <f t="shared" si="44"/>
        <v>0</v>
      </c>
    </row>
    <row r="30" spans="1:70">
      <c r="A30" s="770"/>
      <c r="B30" s="774"/>
      <c r="C30" s="24" t="s">
        <v>169</v>
      </c>
      <c r="D30" s="270"/>
      <c r="E30" s="271"/>
      <c r="F30" s="272"/>
      <c r="G30" s="545"/>
      <c r="H30" s="546"/>
      <c r="I30" s="273">
        <f t="shared" si="24"/>
        <v>0</v>
      </c>
      <c r="J30" s="545"/>
      <c r="K30" s="546"/>
      <c r="L30" s="273">
        <f t="shared" si="25"/>
        <v>0</v>
      </c>
      <c r="M30" s="545"/>
      <c r="N30" s="546"/>
      <c r="O30" s="273">
        <f t="shared" si="26"/>
        <v>0</v>
      </c>
      <c r="P30" s="545"/>
      <c r="Q30" s="546"/>
      <c r="R30" s="273">
        <f t="shared" si="27"/>
        <v>0</v>
      </c>
      <c r="S30" s="545"/>
      <c r="T30" s="546"/>
      <c r="U30" s="273">
        <f t="shared" si="28"/>
        <v>0</v>
      </c>
      <c r="V30" s="545"/>
      <c r="W30" s="546"/>
      <c r="X30" s="273">
        <f t="shared" si="29"/>
        <v>0</v>
      </c>
      <c r="Y30" s="545"/>
      <c r="Z30" s="546"/>
      <c r="AA30" s="273">
        <f t="shared" si="30"/>
        <v>0</v>
      </c>
      <c r="AB30" s="545"/>
      <c r="AC30" s="546"/>
      <c r="AD30" s="273">
        <f t="shared" si="31"/>
        <v>0</v>
      </c>
      <c r="AE30" s="545"/>
      <c r="AF30" s="546"/>
      <c r="AG30" s="273">
        <f t="shared" si="32"/>
        <v>0</v>
      </c>
      <c r="AH30" s="545"/>
      <c r="AI30" s="546"/>
      <c r="AJ30" s="273">
        <f t="shared" si="33"/>
        <v>0</v>
      </c>
      <c r="AK30" s="545"/>
      <c r="AL30" s="546"/>
      <c r="AM30" s="273">
        <f t="shared" si="34"/>
        <v>0</v>
      </c>
      <c r="AN30" s="545"/>
      <c r="AO30" s="546"/>
      <c r="AP30" s="273">
        <f t="shared" si="35"/>
        <v>0</v>
      </c>
      <c r="AQ30" s="545"/>
      <c r="AR30" s="546"/>
      <c r="AS30" s="273">
        <f t="shared" si="36"/>
        <v>0</v>
      </c>
      <c r="AT30" s="545"/>
      <c r="AU30" s="546"/>
      <c r="AV30" s="273">
        <f t="shared" si="37"/>
        <v>0</v>
      </c>
      <c r="AW30" s="545"/>
      <c r="AX30" s="546"/>
      <c r="AY30" s="273">
        <f t="shared" si="38"/>
        <v>0</v>
      </c>
      <c r="AZ30" s="545"/>
      <c r="BA30" s="546"/>
      <c r="BB30" s="273">
        <f t="shared" si="39"/>
        <v>0</v>
      </c>
      <c r="BC30" s="545"/>
      <c r="BD30" s="546"/>
      <c r="BE30" s="273">
        <f t="shared" si="40"/>
        <v>0</v>
      </c>
      <c r="BF30" s="545"/>
      <c r="BG30" s="546"/>
      <c r="BH30" s="273">
        <f t="shared" si="41"/>
        <v>0</v>
      </c>
      <c r="BI30" s="545"/>
      <c r="BJ30" s="546"/>
      <c r="BK30" s="273">
        <f t="shared" si="42"/>
        <v>0</v>
      </c>
      <c r="BL30" s="545"/>
      <c r="BM30" s="546"/>
      <c r="BN30" s="273">
        <f t="shared" si="43"/>
        <v>0</v>
      </c>
      <c r="BO30" s="545"/>
      <c r="BP30" s="546"/>
      <c r="BQ30" s="273">
        <f t="shared" si="44"/>
        <v>0</v>
      </c>
    </row>
    <row r="31" spans="1:70">
      <c r="A31" s="770"/>
      <c r="B31" s="774"/>
      <c r="C31" s="24" t="s">
        <v>170</v>
      </c>
      <c r="D31" s="270"/>
      <c r="E31" s="271"/>
      <c r="F31" s="272"/>
      <c r="G31" s="545"/>
      <c r="H31" s="546"/>
      <c r="I31" s="273">
        <f t="shared" si="24"/>
        <v>0</v>
      </c>
      <c r="J31" s="545"/>
      <c r="K31" s="546"/>
      <c r="L31" s="273">
        <f t="shared" si="25"/>
        <v>0</v>
      </c>
      <c r="M31" s="545"/>
      <c r="N31" s="546"/>
      <c r="O31" s="273">
        <f t="shared" si="26"/>
        <v>0</v>
      </c>
      <c r="P31" s="545"/>
      <c r="Q31" s="546"/>
      <c r="R31" s="273">
        <f t="shared" si="27"/>
        <v>0</v>
      </c>
      <c r="S31" s="545"/>
      <c r="T31" s="546"/>
      <c r="U31" s="273">
        <f t="shared" si="28"/>
        <v>0</v>
      </c>
      <c r="V31" s="545"/>
      <c r="W31" s="546"/>
      <c r="X31" s="273">
        <f t="shared" si="29"/>
        <v>0</v>
      </c>
      <c r="Y31" s="545"/>
      <c r="Z31" s="546"/>
      <c r="AA31" s="273">
        <f t="shared" si="30"/>
        <v>0</v>
      </c>
      <c r="AB31" s="545"/>
      <c r="AC31" s="546"/>
      <c r="AD31" s="273">
        <f t="shared" si="31"/>
        <v>0</v>
      </c>
      <c r="AE31" s="545"/>
      <c r="AF31" s="546"/>
      <c r="AG31" s="273">
        <f t="shared" si="32"/>
        <v>0</v>
      </c>
      <c r="AH31" s="545"/>
      <c r="AI31" s="546"/>
      <c r="AJ31" s="273">
        <f t="shared" si="33"/>
        <v>0</v>
      </c>
      <c r="AK31" s="545"/>
      <c r="AL31" s="546"/>
      <c r="AM31" s="273">
        <f t="shared" si="34"/>
        <v>0</v>
      </c>
      <c r="AN31" s="545"/>
      <c r="AO31" s="546"/>
      <c r="AP31" s="273">
        <f t="shared" si="35"/>
        <v>0</v>
      </c>
      <c r="AQ31" s="545"/>
      <c r="AR31" s="546"/>
      <c r="AS31" s="273">
        <f t="shared" si="36"/>
        <v>0</v>
      </c>
      <c r="AT31" s="545"/>
      <c r="AU31" s="546"/>
      <c r="AV31" s="273">
        <f t="shared" si="37"/>
        <v>0</v>
      </c>
      <c r="AW31" s="545"/>
      <c r="AX31" s="546"/>
      <c r="AY31" s="273">
        <f t="shared" si="38"/>
        <v>0</v>
      </c>
      <c r="AZ31" s="545"/>
      <c r="BA31" s="546"/>
      <c r="BB31" s="273">
        <f t="shared" si="39"/>
        <v>0</v>
      </c>
      <c r="BC31" s="545"/>
      <c r="BD31" s="546"/>
      <c r="BE31" s="273">
        <f t="shared" si="40"/>
        <v>0</v>
      </c>
      <c r="BF31" s="545"/>
      <c r="BG31" s="546"/>
      <c r="BH31" s="273">
        <f t="shared" si="41"/>
        <v>0</v>
      </c>
      <c r="BI31" s="545"/>
      <c r="BJ31" s="546"/>
      <c r="BK31" s="273">
        <f t="shared" si="42"/>
        <v>0</v>
      </c>
      <c r="BL31" s="545"/>
      <c r="BM31" s="546"/>
      <c r="BN31" s="273">
        <f t="shared" si="43"/>
        <v>0</v>
      </c>
      <c r="BO31" s="545"/>
      <c r="BP31" s="546"/>
      <c r="BQ31" s="273">
        <f t="shared" si="44"/>
        <v>0</v>
      </c>
    </row>
    <row r="32" spans="1:70">
      <c r="A32" s="770"/>
      <c r="B32" s="774"/>
      <c r="C32" s="24" t="s">
        <v>171</v>
      </c>
      <c r="D32" s="270"/>
      <c r="E32" s="271"/>
      <c r="F32" s="272"/>
      <c r="G32" s="545"/>
      <c r="H32" s="546"/>
      <c r="I32" s="273">
        <f t="shared" si="24"/>
        <v>0</v>
      </c>
      <c r="J32" s="545"/>
      <c r="K32" s="546"/>
      <c r="L32" s="273">
        <f t="shared" si="25"/>
        <v>0</v>
      </c>
      <c r="M32" s="545"/>
      <c r="N32" s="546"/>
      <c r="O32" s="273">
        <f t="shared" si="26"/>
        <v>0</v>
      </c>
      <c r="P32" s="545"/>
      <c r="Q32" s="546"/>
      <c r="R32" s="273">
        <f t="shared" si="27"/>
        <v>0</v>
      </c>
      <c r="S32" s="545"/>
      <c r="T32" s="546"/>
      <c r="U32" s="273">
        <f t="shared" si="28"/>
        <v>0</v>
      </c>
      <c r="V32" s="545"/>
      <c r="W32" s="546"/>
      <c r="X32" s="273">
        <f t="shared" si="29"/>
        <v>0</v>
      </c>
      <c r="Y32" s="545"/>
      <c r="Z32" s="546"/>
      <c r="AA32" s="273">
        <f t="shared" si="30"/>
        <v>0</v>
      </c>
      <c r="AB32" s="545"/>
      <c r="AC32" s="546"/>
      <c r="AD32" s="273">
        <f t="shared" si="31"/>
        <v>0</v>
      </c>
      <c r="AE32" s="545"/>
      <c r="AF32" s="546"/>
      <c r="AG32" s="273">
        <f t="shared" si="32"/>
        <v>0</v>
      </c>
      <c r="AH32" s="545"/>
      <c r="AI32" s="546"/>
      <c r="AJ32" s="273">
        <f t="shared" si="33"/>
        <v>0</v>
      </c>
      <c r="AK32" s="545"/>
      <c r="AL32" s="546"/>
      <c r="AM32" s="273">
        <f t="shared" si="34"/>
        <v>0</v>
      </c>
      <c r="AN32" s="545"/>
      <c r="AO32" s="546"/>
      <c r="AP32" s="273">
        <f t="shared" si="35"/>
        <v>0</v>
      </c>
      <c r="AQ32" s="545"/>
      <c r="AR32" s="546"/>
      <c r="AS32" s="273">
        <f t="shared" si="36"/>
        <v>0</v>
      </c>
      <c r="AT32" s="545"/>
      <c r="AU32" s="546"/>
      <c r="AV32" s="273">
        <f t="shared" si="37"/>
        <v>0</v>
      </c>
      <c r="AW32" s="545"/>
      <c r="AX32" s="546"/>
      <c r="AY32" s="273">
        <f t="shared" si="38"/>
        <v>0</v>
      </c>
      <c r="AZ32" s="545"/>
      <c r="BA32" s="546"/>
      <c r="BB32" s="273">
        <f t="shared" si="39"/>
        <v>0</v>
      </c>
      <c r="BC32" s="545"/>
      <c r="BD32" s="546"/>
      <c r="BE32" s="273">
        <f t="shared" si="40"/>
        <v>0</v>
      </c>
      <c r="BF32" s="545"/>
      <c r="BG32" s="546"/>
      <c r="BH32" s="273">
        <f t="shared" si="41"/>
        <v>0</v>
      </c>
      <c r="BI32" s="545"/>
      <c r="BJ32" s="546"/>
      <c r="BK32" s="273">
        <f t="shared" si="42"/>
        <v>0</v>
      </c>
      <c r="BL32" s="545"/>
      <c r="BM32" s="546"/>
      <c r="BN32" s="273">
        <f t="shared" si="43"/>
        <v>0</v>
      </c>
      <c r="BO32" s="545"/>
      <c r="BP32" s="546"/>
      <c r="BQ32" s="273">
        <f t="shared" si="44"/>
        <v>0</v>
      </c>
    </row>
    <row r="33" spans="1:70">
      <c r="A33" s="770"/>
      <c r="B33" s="774"/>
      <c r="C33" s="24" t="s">
        <v>172</v>
      </c>
      <c r="D33" s="270"/>
      <c r="E33" s="271"/>
      <c r="F33" s="272"/>
      <c r="G33" s="545"/>
      <c r="H33" s="546"/>
      <c r="I33" s="273">
        <f t="shared" si="24"/>
        <v>0</v>
      </c>
      <c r="J33" s="545"/>
      <c r="K33" s="546"/>
      <c r="L33" s="273">
        <f t="shared" si="25"/>
        <v>0</v>
      </c>
      <c r="M33" s="545"/>
      <c r="N33" s="546"/>
      <c r="O33" s="273">
        <f t="shared" si="26"/>
        <v>0</v>
      </c>
      <c r="P33" s="545"/>
      <c r="Q33" s="546"/>
      <c r="R33" s="273">
        <f t="shared" si="27"/>
        <v>0</v>
      </c>
      <c r="S33" s="545"/>
      <c r="T33" s="546"/>
      <c r="U33" s="273">
        <f t="shared" si="28"/>
        <v>0</v>
      </c>
      <c r="V33" s="545"/>
      <c r="W33" s="546"/>
      <c r="X33" s="273">
        <f t="shared" si="29"/>
        <v>0</v>
      </c>
      <c r="Y33" s="545"/>
      <c r="Z33" s="546"/>
      <c r="AA33" s="273">
        <f t="shared" si="30"/>
        <v>0</v>
      </c>
      <c r="AB33" s="545"/>
      <c r="AC33" s="546"/>
      <c r="AD33" s="273">
        <f t="shared" si="31"/>
        <v>0</v>
      </c>
      <c r="AE33" s="545"/>
      <c r="AF33" s="546"/>
      <c r="AG33" s="273">
        <f t="shared" si="32"/>
        <v>0</v>
      </c>
      <c r="AH33" s="545"/>
      <c r="AI33" s="546"/>
      <c r="AJ33" s="273">
        <f t="shared" si="33"/>
        <v>0</v>
      </c>
      <c r="AK33" s="545"/>
      <c r="AL33" s="546"/>
      <c r="AM33" s="273">
        <f t="shared" si="34"/>
        <v>0</v>
      </c>
      <c r="AN33" s="545"/>
      <c r="AO33" s="546"/>
      <c r="AP33" s="273">
        <f t="shared" si="35"/>
        <v>0</v>
      </c>
      <c r="AQ33" s="545"/>
      <c r="AR33" s="546"/>
      <c r="AS33" s="273">
        <f t="shared" si="36"/>
        <v>0</v>
      </c>
      <c r="AT33" s="545"/>
      <c r="AU33" s="546"/>
      <c r="AV33" s="273">
        <f t="shared" si="37"/>
        <v>0</v>
      </c>
      <c r="AW33" s="545"/>
      <c r="AX33" s="546"/>
      <c r="AY33" s="273">
        <f t="shared" si="38"/>
        <v>0</v>
      </c>
      <c r="AZ33" s="545"/>
      <c r="BA33" s="546"/>
      <c r="BB33" s="273">
        <f t="shared" si="39"/>
        <v>0</v>
      </c>
      <c r="BC33" s="545"/>
      <c r="BD33" s="546"/>
      <c r="BE33" s="273">
        <f t="shared" si="40"/>
        <v>0</v>
      </c>
      <c r="BF33" s="545"/>
      <c r="BG33" s="546"/>
      <c r="BH33" s="273">
        <f t="shared" si="41"/>
        <v>0</v>
      </c>
      <c r="BI33" s="545"/>
      <c r="BJ33" s="546"/>
      <c r="BK33" s="273">
        <f t="shared" si="42"/>
        <v>0</v>
      </c>
      <c r="BL33" s="545"/>
      <c r="BM33" s="546"/>
      <c r="BN33" s="273">
        <f t="shared" si="43"/>
        <v>0</v>
      </c>
      <c r="BO33" s="545"/>
      <c r="BP33" s="546"/>
      <c r="BQ33" s="273">
        <f t="shared" si="44"/>
        <v>0</v>
      </c>
    </row>
    <row r="34" spans="1:70" ht="15.75" thickBot="1">
      <c r="A34" s="771"/>
      <c r="B34" s="775"/>
      <c r="C34" s="261" t="s">
        <v>173</v>
      </c>
      <c r="D34" s="274"/>
      <c r="E34" s="275"/>
      <c r="F34" s="276"/>
      <c r="G34" s="547"/>
      <c r="H34" s="548"/>
      <c r="I34" s="277">
        <f t="shared" si="24"/>
        <v>0</v>
      </c>
      <c r="J34" s="547"/>
      <c r="K34" s="548"/>
      <c r="L34" s="277">
        <f t="shared" si="25"/>
        <v>0</v>
      </c>
      <c r="M34" s="547"/>
      <c r="N34" s="548"/>
      <c r="O34" s="277">
        <f t="shared" si="26"/>
        <v>0</v>
      </c>
      <c r="P34" s="547"/>
      <c r="Q34" s="548"/>
      <c r="R34" s="277">
        <f t="shared" si="27"/>
        <v>0</v>
      </c>
      <c r="S34" s="547"/>
      <c r="T34" s="548"/>
      <c r="U34" s="277">
        <f t="shared" si="28"/>
        <v>0</v>
      </c>
      <c r="V34" s="547"/>
      <c r="W34" s="548"/>
      <c r="X34" s="277">
        <f t="shared" si="29"/>
        <v>0</v>
      </c>
      <c r="Y34" s="547"/>
      <c r="Z34" s="548"/>
      <c r="AA34" s="277">
        <f t="shared" si="30"/>
        <v>0</v>
      </c>
      <c r="AB34" s="547"/>
      <c r="AC34" s="548"/>
      <c r="AD34" s="277">
        <f t="shared" si="31"/>
        <v>0</v>
      </c>
      <c r="AE34" s="547"/>
      <c r="AF34" s="548"/>
      <c r="AG34" s="277">
        <f t="shared" si="32"/>
        <v>0</v>
      </c>
      <c r="AH34" s="547"/>
      <c r="AI34" s="548"/>
      <c r="AJ34" s="277">
        <f t="shared" si="33"/>
        <v>0</v>
      </c>
      <c r="AK34" s="547"/>
      <c r="AL34" s="548"/>
      <c r="AM34" s="277">
        <f t="shared" si="34"/>
        <v>0</v>
      </c>
      <c r="AN34" s="547"/>
      <c r="AO34" s="548"/>
      <c r="AP34" s="277">
        <f t="shared" si="35"/>
        <v>0</v>
      </c>
      <c r="AQ34" s="547"/>
      <c r="AR34" s="548"/>
      <c r="AS34" s="277">
        <f t="shared" si="36"/>
        <v>0</v>
      </c>
      <c r="AT34" s="547"/>
      <c r="AU34" s="548"/>
      <c r="AV34" s="277">
        <f t="shared" si="37"/>
        <v>0</v>
      </c>
      <c r="AW34" s="547"/>
      <c r="AX34" s="548"/>
      <c r="AY34" s="277">
        <f t="shared" si="38"/>
        <v>0</v>
      </c>
      <c r="AZ34" s="547"/>
      <c r="BA34" s="548"/>
      <c r="BB34" s="277">
        <f t="shared" si="39"/>
        <v>0</v>
      </c>
      <c r="BC34" s="547"/>
      <c r="BD34" s="548"/>
      <c r="BE34" s="277">
        <f t="shared" si="40"/>
        <v>0</v>
      </c>
      <c r="BF34" s="547"/>
      <c r="BG34" s="548"/>
      <c r="BH34" s="277">
        <f t="shared" si="41"/>
        <v>0</v>
      </c>
      <c r="BI34" s="547"/>
      <c r="BJ34" s="548"/>
      <c r="BK34" s="277">
        <f t="shared" si="42"/>
        <v>0</v>
      </c>
      <c r="BL34" s="547"/>
      <c r="BM34" s="548"/>
      <c r="BN34" s="277">
        <f t="shared" si="43"/>
        <v>0</v>
      </c>
      <c r="BO34" s="547"/>
      <c r="BP34" s="548"/>
      <c r="BQ34" s="277">
        <f t="shared" si="44"/>
        <v>0</v>
      </c>
    </row>
    <row r="35" spans="1:70" s="279" customFormat="1" ht="14.45" customHeight="1">
      <c r="A35" s="769" t="s">
        <v>215</v>
      </c>
      <c r="B35" s="773" t="s">
        <v>216</v>
      </c>
      <c r="C35" s="249" t="s">
        <v>164</v>
      </c>
      <c r="D35" s="266"/>
      <c r="E35" s="267"/>
      <c r="F35" s="268"/>
      <c r="G35" s="543"/>
      <c r="H35" s="544"/>
      <c r="I35" s="269">
        <f t="shared" si="24"/>
        <v>0</v>
      </c>
      <c r="J35" s="543"/>
      <c r="K35" s="544"/>
      <c r="L35" s="269">
        <f t="shared" si="25"/>
        <v>0</v>
      </c>
      <c r="M35" s="543"/>
      <c r="N35" s="544"/>
      <c r="O35" s="269">
        <f t="shared" si="26"/>
        <v>0</v>
      </c>
      <c r="P35" s="543"/>
      <c r="Q35" s="544"/>
      <c r="R35" s="269">
        <f t="shared" si="27"/>
        <v>0</v>
      </c>
      <c r="S35" s="543"/>
      <c r="T35" s="544"/>
      <c r="U35" s="269">
        <f t="shared" si="28"/>
        <v>0</v>
      </c>
      <c r="V35" s="543"/>
      <c r="W35" s="544"/>
      <c r="X35" s="269">
        <f t="shared" si="29"/>
        <v>0</v>
      </c>
      <c r="Y35" s="543"/>
      <c r="Z35" s="544"/>
      <c r="AA35" s="269">
        <f t="shared" si="30"/>
        <v>0</v>
      </c>
      <c r="AB35" s="543"/>
      <c r="AC35" s="544"/>
      <c r="AD35" s="269">
        <f t="shared" si="31"/>
        <v>0</v>
      </c>
      <c r="AE35" s="543"/>
      <c r="AF35" s="544"/>
      <c r="AG35" s="269">
        <f t="shared" si="32"/>
        <v>0</v>
      </c>
      <c r="AH35" s="543"/>
      <c r="AI35" s="544"/>
      <c r="AJ35" s="269">
        <f t="shared" si="33"/>
        <v>0</v>
      </c>
      <c r="AK35" s="543"/>
      <c r="AL35" s="544"/>
      <c r="AM35" s="269">
        <f t="shared" si="34"/>
        <v>0</v>
      </c>
      <c r="AN35" s="543"/>
      <c r="AO35" s="544"/>
      <c r="AP35" s="269">
        <f t="shared" si="35"/>
        <v>0</v>
      </c>
      <c r="AQ35" s="543"/>
      <c r="AR35" s="544"/>
      <c r="AS35" s="269">
        <f t="shared" si="36"/>
        <v>0</v>
      </c>
      <c r="AT35" s="543"/>
      <c r="AU35" s="544"/>
      <c r="AV35" s="269">
        <f t="shared" si="37"/>
        <v>0</v>
      </c>
      <c r="AW35" s="543"/>
      <c r="AX35" s="544"/>
      <c r="AY35" s="269">
        <f t="shared" si="38"/>
        <v>0</v>
      </c>
      <c r="AZ35" s="543"/>
      <c r="BA35" s="544"/>
      <c r="BB35" s="269">
        <f t="shared" si="39"/>
        <v>0</v>
      </c>
      <c r="BC35" s="543"/>
      <c r="BD35" s="544"/>
      <c r="BE35" s="269">
        <f t="shared" si="40"/>
        <v>0</v>
      </c>
      <c r="BF35" s="543"/>
      <c r="BG35" s="544"/>
      <c r="BH35" s="269">
        <f t="shared" si="41"/>
        <v>0</v>
      </c>
      <c r="BI35" s="543"/>
      <c r="BJ35" s="544"/>
      <c r="BK35" s="269">
        <f t="shared" si="42"/>
        <v>0</v>
      </c>
      <c r="BL35" s="543"/>
      <c r="BM35" s="544"/>
      <c r="BN35" s="269">
        <f t="shared" si="43"/>
        <v>0</v>
      </c>
      <c r="BO35" s="543"/>
      <c r="BP35" s="544"/>
      <c r="BQ35" s="269">
        <f t="shared" si="44"/>
        <v>0</v>
      </c>
      <c r="BR35" s="278">
        <f>'Analyza citlivosti - AgendovéIS'!N7</f>
        <v>0</v>
      </c>
    </row>
    <row r="36" spans="1:70">
      <c r="A36" s="770"/>
      <c r="B36" s="774"/>
      <c r="C36" s="24" t="s">
        <v>165</v>
      </c>
      <c r="D36" s="270"/>
      <c r="E36" s="271"/>
      <c r="F36" s="272"/>
      <c r="G36" s="545"/>
      <c r="H36" s="546"/>
      <c r="I36" s="273">
        <f t="shared" si="24"/>
        <v>0</v>
      </c>
      <c r="J36" s="545"/>
      <c r="K36" s="546"/>
      <c r="L36" s="273">
        <f t="shared" si="25"/>
        <v>0</v>
      </c>
      <c r="M36" s="545"/>
      <c r="N36" s="546"/>
      <c r="O36" s="273">
        <f t="shared" si="26"/>
        <v>0</v>
      </c>
      <c r="P36" s="545"/>
      <c r="Q36" s="546"/>
      <c r="R36" s="273">
        <f t="shared" si="27"/>
        <v>0</v>
      </c>
      <c r="S36" s="545"/>
      <c r="T36" s="546"/>
      <c r="U36" s="273">
        <f t="shared" si="28"/>
        <v>0</v>
      </c>
      <c r="V36" s="545"/>
      <c r="W36" s="546"/>
      <c r="X36" s="273">
        <f t="shared" si="29"/>
        <v>0</v>
      </c>
      <c r="Y36" s="545"/>
      <c r="Z36" s="546"/>
      <c r="AA36" s="273">
        <f t="shared" si="30"/>
        <v>0</v>
      </c>
      <c r="AB36" s="545"/>
      <c r="AC36" s="546"/>
      <c r="AD36" s="273">
        <f t="shared" si="31"/>
        <v>0</v>
      </c>
      <c r="AE36" s="545"/>
      <c r="AF36" s="546"/>
      <c r="AG36" s="273">
        <f t="shared" si="32"/>
        <v>0</v>
      </c>
      <c r="AH36" s="545"/>
      <c r="AI36" s="546"/>
      <c r="AJ36" s="273">
        <f t="shared" si="33"/>
        <v>0</v>
      </c>
      <c r="AK36" s="545"/>
      <c r="AL36" s="546"/>
      <c r="AM36" s="273">
        <f t="shared" si="34"/>
        <v>0</v>
      </c>
      <c r="AN36" s="545"/>
      <c r="AO36" s="546"/>
      <c r="AP36" s="273">
        <f t="shared" si="35"/>
        <v>0</v>
      </c>
      <c r="AQ36" s="545"/>
      <c r="AR36" s="546"/>
      <c r="AS36" s="273">
        <f t="shared" si="36"/>
        <v>0</v>
      </c>
      <c r="AT36" s="545"/>
      <c r="AU36" s="546"/>
      <c r="AV36" s="273">
        <f t="shared" si="37"/>
        <v>0</v>
      </c>
      <c r="AW36" s="545"/>
      <c r="AX36" s="546"/>
      <c r="AY36" s="273">
        <f t="shared" si="38"/>
        <v>0</v>
      </c>
      <c r="AZ36" s="545"/>
      <c r="BA36" s="546"/>
      <c r="BB36" s="273">
        <f t="shared" si="39"/>
        <v>0</v>
      </c>
      <c r="BC36" s="545"/>
      <c r="BD36" s="546"/>
      <c r="BE36" s="273">
        <f t="shared" si="40"/>
        <v>0</v>
      </c>
      <c r="BF36" s="545"/>
      <c r="BG36" s="546"/>
      <c r="BH36" s="273">
        <f t="shared" si="41"/>
        <v>0</v>
      </c>
      <c r="BI36" s="545"/>
      <c r="BJ36" s="546"/>
      <c r="BK36" s="273">
        <f t="shared" si="42"/>
        <v>0</v>
      </c>
      <c r="BL36" s="545"/>
      <c r="BM36" s="546"/>
      <c r="BN36" s="273">
        <f t="shared" si="43"/>
        <v>0</v>
      </c>
      <c r="BO36" s="545"/>
      <c r="BP36" s="546"/>
      <c r="BQ36" s="273">
        <f t="shared" si="44"/>
        <v>0</v>
      </c>
    </row>
    <row r="37" spans="1:70">
      <c r="A37" s="770"/>
      <c r="B37" s="774"/>
      <c r="C37" s="24" t="s">
        <v>166</v>
      </c>
      <c r="D37" s="270"/>
      <c r="E37" s="271"/>
      <c r="F37" s="272"/>
      <c r="G37" s="545"/>
      <c r="H37" s="546"/>
      <c r="I37" s="273">
        <f t="shared" si="24"/>
        <v>0</v>
      </c>
      <c r="J37" s="545"/>
      <c r="K37" s="546"/>
      <c r="L37" s="273">
        <f t="shared" si="25"/>
        <v>0</v>
      </c>
      <c r="M37" s="545"/>
      <c r="N37" s="546"/>
      <c r="O37" s="273">
        <f t="shared" si="26"/>
        <v>0</v>
      </c>
      <c r="P37" s="545"/>
      <c r="Q37" s="546"/>
      <c r="R37" s="273">
        <f t="shared" si="27"/>
        <v>0</v>
      </c>
      <c r="S37" s="545"/>
      <c r="T37" s="546"/>
      <c r="U37" s="273">
        <f t="shared" si="28"/>
        <v>0</v>
      </c>
      <c r="V37" s="545"/>
      <c r="W37" s="546"/>
      <c r="X37" s="273">
        <f t="shared" si="29"/>
        <v>0</v>
      </c>
      <c r="Y37" s="545"/>
      <c r="Z37" s="546"/>
      <c r="AA37" s="273">
        <f t="shared" si="30"/>
        <v>0</v>
      </c>
      <c r="AB37" s="545"/>
      <c r="AC37" s="546"/>
      <c r="AD37" s="273">
        <f t="shared" si="31"/>
        <v>0</v>
      </c>
      <c r="AE37" s="545"/>
      <c r="AF37" s="546"/>
      <c r="AG37" s="273">
        <f t="shared" si="32"/>
        <v>0</v>
      </c>
      <c r="AH37" s="545"/>
      <c r="AI37" s="546"/>
      <c r="AJ37" s="273">
        <f t="shared" si="33"/>
        <v>0</v>
      </c>
      <c r="AK37" s="545"/>
      <c r="AL37" s="546"/>
      <c r="AM37" s="273">
        <f t="shared" si="34"/>
        <v>0</v>
      </c>
      <c r="AN37" s="545"/>
      <c r="AO37" s="546"/>
      <c r="AP37" s="273">
        <f t="shared" si="35"/>
        <v>0</v>
      </c>
      <c r="AQ37" s="545"/>
      <c r="AR37" s="546"/>
      <c r="AS37" s="273">
        <f t="shared" si="36"/>
        <v>0</v>
      </c>
      <c r="AT37" s="545"/>
      <c r="AU37" s="546"/>
      <c r="AV37" s="273">
        <f t="shared" si="37"/>
        <v>0</v>
      </c>
      <c r="AW37" s="545"/>
      <c r="AX37" s="546"/>
      <c r="AY37" s="273">
        <f t="shared" si="38"/>
        <v>0</v>
      </c>
      <c r="AZ37" s="545"/>
      <c r="BA37" s="546"/>
      <c r="BB37" s="273">
        <f t="shared" si="39"/>
        <v>0</v>
      </c>
      <c r="BC37" s="545"/>
      <c r="BD37" s="546"/>
      <c r="BE37" s="273">
        <f t="shared" si="40"/>
        <v>0</v>
      </c>
      <c r="BF37" s="545"/>
      <c r="BG37" s="546"/>
      <c r="BH37" s="273">
        <f t="shared" si="41"/>
        <v>0</v>
      </c>
      <c r="BI37" s="545"/>
      <c r="BJ37" s="546"/>
      <c r="BK37" s="273">
        <f t="shared" si="42"/>
        <v>0</v>
      </c>
      <c r="BL37" s="545"/>
      <c r="BM37" s="546"/>
      <c r="BN37" s="273">
        <f t="shared" si="43"/>
        <v>0</v>
      </c>
      <c r="BO37" s="545"/>
      <c r="BP37" s="546"/>
      <c r="BQ37" s="273">
        <f t="shared" si="44"/>
        <v>0</v>
      </c>
    </row>
    <row r="38" spans="1:70">
      <c r="A38" s="770"/>
      <c r="B38" s="774"/>
      <c r="C38" s="24" t="s">
        <v>167</v>
      </c>
      <c r="D38" s="270"/>
      <c r="E38" s="271"/>
      <c r="F38" s="272"/>
      <c r="G38" s="545"/>
      <c r="H38" s="546"/>
      <c r="I38" s="273">
        <f t="shared" si="24"/>
        <v>0</v>
      </c>
      <c r="J38" s="545"/>
      <c r="K38" s="546"/>
      <c r="L38" s="273">
        <f t="shared" si="25"/>
        <v>0</v>
      </c>
      <c r="M38" s="545"/>
      <c r="N38" s="546"/>
      <c r="O38" s="273">
        <f t="shared" si="26"/>
        <v>0</v>
      </c>
      <c r="P38" s="545"/>
      <c r="Q38" s="546"/>
      <c r="R38" s="273">
        <f t="shared" si="27"/>
        <v>0</v>
      </c>
      <c r="S38" s="545"/>
      <c r="T38" s="546"/>
      <c r="U38" s="273">
        <f t="shared" si="28"/>
        <v>0</v>
      </c>
      <c r="V38" s="545"/>
      <c r="W38" s="546"/>
      <c r="X38" s="273">
        <f t="shared" si="29"/>
        <v>0</v>
      </c>
      <c r="Y38" s="545"/>
      <c r="Z38" s="546"/>
      <c r="AA38" s="273">
        <f t="shared" si="30"/>
        <v>0</v>
      </c>
      <c r="AB38" s="545"/>
      <c r="AC38" s="546"/>
      <c r="AD38" s="273">
        <f t="shared" si="31"/>
        <v>0</v>
      </c>
      <c r="AE38" s="545"/>
      <c r="AF38" s="546"/>
      <c r="AG38" s="273">
        <f t="shared" si="32"/>
        <v>0</v>
      </c>
      <c r="AH38" s="545"/>
      <c r="AI38" s="546"/>
      <c r="AJ38" s="273">
        <f t="shared" si="33"/>
        <v>0</v>
      </c>
      <c r="AK38" s="545"/>
      <c r="AL38" s="546"/>
      <c r="AM38" s="273">
        <f t="shared" si="34"/>
        <v>0</v>
      </c>
      <c r="AN38" s="545"/>
      <c r="AO38" s="546"/>
      <c r="AP38" s="273">
        <f t="shared" si="35"/>
        <v>0</v>
      </c>
      <c r="AQ38" s="545"/>
      <c r="AR38" s="546"/>
      <c r="AS38" s="273">
        <f t="shared" si="36"/>
        <v>0</v>
      </c>
      <c r="AT38" s="545"/>
      <c r="AU38" s="546"/>
      <c r="AV38" s="273">
        <f t="shared" si="37"/>
        <v>0</v>
      </c>
      <c r="AW38" s="545"/>
      <c r="AX38" s="546"/>
      <c r="AY38" s="273">
        <f t="shared" si="38"/>
        <v>0</v>
      </c>
      <c r="AZ38" s="545"/>
      <c r="BA38" s="546"/>
      <c r="BB38" s="273">
        <f t="shared" si="39"/>
        <v>0</v>
      </c>
      <c r="BC38" s="545"/>
      <c r="BD38" s="546"/>
      <c r="BE38" s="273">
        <f t="shared" si="40"/>
        <v>0</v>
      </c>
      <c r="BF38" s="545"/>
      <c r="BG38" s="546"/>
      <c r="BH38" s="273">
        <f t="shared" si="41"/>
        <v>0</v>
      </c>
      <c r="BI38" s="545"/>
      <c r="BJ38" s="546"/>
      <c r="BK38" s="273">
        <f t="shared" si="42"/>
        <v>0</v>
      </c>
      <c r="BL38" s="545"/>
      <c r="BM38" s="546"/>
      <c r="BN38" s="273">
        <f t="shared" si="43"/>
        <v>0</v>
      </c>
      <c r="BO38" s="545"/>
      <c r="BP38" s="546"/>
      <c r="BQ38" s="273">
        <f t="shared" si="44"/>
        <v>0</v>
      </c>
    </row>
    <row r="39" spans="1:70">
      <c r="A39" s="770"/>
      <c r="B39" s="774"/>
      <c r="C39" s="24" t="s">
        <v>168</v>
      </c>
      <c r="D39" s="270"/>
      <c r="E39" s="271"/>
      <c r="F39" s="272"/>
      <c r="G39" s="545"/>
      <c r="H39" s="546"/>
      <c r="I39" s="273">
        <f t="shared" si="24"/>
        <v>0</v>
      </c>
      <c r="J39" s="545"/>
      <c r="K39" s="546"/>
      <c r="L39" s="273">
        <f t="shared" si="25"/>
        <v>0</v>
      </c>
      <c r="M39" s="545"/>
      <c r="N39" s="546"/>
      <c r="O39" s="273">
        <f t="shared" si="26"/>
        <v>0</v>
      </c>
      <c r="P39" s="545"/>
      <c r="Q39" s="546"/>
      <c r="R39" s="273">
        <f t="shared" si="27"/>
        <v>0</v>
      </c>
      <c r="S39" s="545"/>
      <c r="T39" s="546"/>
      <c r="U39" s="273">
        <f t="shared" si="28"/>
        <v>0</v>
      </c>
      <c r="V39" s="545"/>
      <c r="W39" s="546"/>
      <c r="X39" s="273">
        <f t="shared" si="29"/>
        <v>0</v>
      </c>
      <c r="Y39" s="545"/>
      <c r="Z39" s="546"/>
      <c r="AA39" s="273">
        <f t="shared" si="30"/>
        <v>0</v>
      </c>
      <c r="AB39" s="545"/>
      <c r="AC39" s="546"/>
      <c r="AD39" s="273">
        <f t="shared" si="31"/>
        <v>0</v>
      </c>
      <c r="AE39" s="545"/>
      <c r="AF39" s="546"/>
      <c r="AG39" s="273">
        <f t="shared" si="32"/>
        <v>0</v>
      </c>
      <c r="AH39" s="545"/>
      <c r="AI39" s="546"/>
      <c r="AJ39" s="273">
        <f t="shared" si="33"/>
        <v>0</v>
      </c>
      <c r="AK39" s="545"/>
      <c r="AL39" s="546"/>
      <c r="AM39" s="273">
        <f t="shared" si="34"/>
        <v>0</v>
      </c>
      <c r="AN39" s="545"/>
      <c r="AO39" s="546"/>
      <c r="AP39" s="273">
        <f t="shared" si="35"/>
        <v>0</v>
      </c>
      <c r="AQ39" s="545"/>
      <c r="AR39" s="546"/>
      <c r="AS39" s="273">
        <f t="shared" si="36"/>
        <v>0</v>
      </c>
      <c r="AT39" s="545"/>
      <c r="AU39" s="546"/>
      <c r="AV39" s="273">
        <f t="shared" si="37"/>
        <v>0</v>
      </c>
      <c r="AW39" s="545"/>
      <c r="AX39" s="546"/>
      <c r="AY39" s="273">
        <f t="shared" si="38"/>
        <v>0</v>
      </c>
      <c r="AZ39" s="545"/>
      <c r="BA39" s="546"/>
      <c r="BB39" s="273">
        <f t="shared" si="39"/>
        <v>0</v>
      </c>
      <c r="BC39" s="545"/>
      <c r="BD39" s="546"/>
      <c r="BE39" s="273">
        <f t="shared" si="40"/>
        <v>0</v>
      </c>
      <c r="BF39" s="545"/>
      <c r="BG39" s="546"/>
      <c r="BH39" s="273">
        <f t="shared" si="41"/>
        <v>0</v>
      </c>
      <c r="BI39" s="545"/>
      <c r="BJ39" s="546"/>
      <c r="BK39" s="273">
        <f t="shared" si="42"/>
        <v>0</v>
      </c>
      <c r="BL39" s="545"/>
      <c r="BM39" s="546"/>
      <c r="BN39" s="273">
        <f t="shared" si="43"/>
        <v>0</v>
      </c>
      <c r="BO39" s="545"/>
      <c r="BP39" s="546"/>
      <c r="BQ39" s="273">
        <f t="shared" si="44"/>
        <v>0</v>
      </c>
    </row>
    <row r="40" spans="1:70">
      <c r="A40" s="770"/>
      <c r="B40" s="774"/>
      <c r="C40" s="24" t="s">
        <v>169</v>
      </c>
      <c r="D40" s="270"/>
      <c r="E40" s="271"/>
      <c r="F40" s="272"/>
      <c r="G40" s="545"/>
      <c r="H40" s="546"/>
      <c r="I40" s="273">
        <f t="shared" si="24"/>
        <v>0</v>
      </c>
      <c r="J40" s="545"/>
      <c r="K40" s="546"/>
      <c r="L40" s="273">
        <f t="shared" si="25"/>
        <v>0</v>
      </c>
      <c r="M40" s="545"/>
      <c r="N40" s="546"/>
      <c r="O40" s="273">
        <f t="shared" si="26"/>
        <v>0</v>
      </c>
      <c r="P40" s="545"/>
      <c r="Q40" s="546"/>
      <c r="R40" s="273">
        <f t="shared" si="27"/>
        <v>0</v>
      </c>
      <c r="S40" s="545"/>
      <c r="T40" s="546"/>
      <c r="U40" s="273">
        <f t="shared" si="28"/>
        <v>0</v>
      </c>
      <c r="V40" s="545"/>
      <c r="W40" s="546"/>
      <c r="X40" s="273">
        <f t="shared" si="29"/>
        <v>0</v>
      </c>
      <c r="Y40" s="545"/>
      <c r="Z40" s="546"/>
      <c r="AA40" s="273">
        <f t="shared" si="30"/>
        <v>0</v>
      </c>
      <c r="AB40" s="545"/>
      <c r="AC40" s="546"/>
      <c r="AD40" s="273">
        <f t="shared" si="31"/>
        <v>0</v>
      </c>
      <c r="AE40" s="545"/>
      <c r="AF40" s="546"/>
      <c r="AG40" s="273">
        <f t="shared" si="32"/>
        <v>0</v>
      </c>
      <c r="AH40" s="545"/>
      <c r="AI40" s="546"/>
      <c r="AJ40" s="273">
        <f t="shared" si="33"/>
        <v>0</v>
      </c>
      <c r="AK40" s="545"/>
      <c r="AL40" s="546"/>
      <c r="AM40" s="273">
        <f t="shared" si="34"/>
        <v>0</v>
      </c>
      <c r="AN40" s="545"/>
      <c r="AO40" s="546"/>
      <c r="AP40" s="273">
        <f t="shared" si="35"/>
        <v>0</v>
      </c>
      <c r="AQ40" s="545"/>
      <c r="AR40" s="546"/>
      <c r="AS40" s="273">
        <f t="shared" si="36"/>
        <v>0</v>
      </c>
      <c r="AT40" s="545"/>
      <c r="AU40" s="546"/>
      <c r="AV40" s="273">
        <f t="shared" si="37"/>
        <v>0</v>
      </c>
      <c r="AW40" s="545"/>
      <c r="AX40" s="546"/>
      <c r="AY40" s="273">
        <f t="shared" si="38"/>
        <v>0</v>
      </c>
      <c r="AZ40" s="545"/>
      <c r="BA40" s="546"/>
      <c r="BB40" s="273">
        <f t="shared" si="39"/>
        <v>0</v>
      </c>
      <c r="BC40" s="545"/>
      <c r="BD40" s="546"/>
      <c r="BE40" s="273">
        <f t="shared" si="40"/>
        <v>0</v>
      </c>
      <c r="BF40" s="545"/>
      <c r="BG40" s="546"/>
      <c r="BH40" s="273">
        <f t="shared" si="41"/>
        <v>0</v>
      </c>
      <c r="BI40" s="545"/>
      <c r="BJ40" s="546"/>
      <c r="BK40" s="273">
        <f t="shared" si="42"/>
        <v>0</v>
      </c>
      <c r="BL40" s="545"/>
      <c r="BM40" s="546"/>
      <c r="BN40" s="273">
        <f t="shared" si="43"/>
        <v>0</v>
      </c>
      <c r="BO40" s="545"/>
      <c r="BP40" s="546"/>
      <c r="BQ40" s="273">
        <f t="shared" si="44"/>
        <v>0</v>
      </c>
    </row>
    <row r="41" spans="1:70">
      <c r="A41" s="770"/>
      <c r="B41" s="774"/>
      <c r="C41" s="24" t="s">
        <v>170</v>
      </c>
      <c r="D41" s="270"/>
      <c r="E41" s="271"/>
      <c r="F41" s="272"/>
      <c r="G41" s="545"/>
      <c r="H41" s="546"/>
      <c r="I41" s="273">
        <f t="shared" si="24"/>
        <v>0</v>
      </c>
      <c r="J41" s="545"/>
      <c r="K41" s="546"/>
      <c r="L41" s="273">
        <f t="shared" si="25"/>
        <v>0</v>
      </c>
      <c r="M41" s="545"/>
      <c r="N41" s="546"/>
      <c r="O41" s="273">
        <f t="shared" si="26"/>
        <v>0</v>
      </c>
      <c r="P41" s="545"/>
      <c r="Q41" s="546"/>
      <c r="R41" s="273">
        <f t="shared" si="27"/>
        <v>0</v>
      </c>
      <c r="S41" s="545"/>
      <c r="T41" s="546"/>
      <c r="U41" s="273">
        <f t="shared" si="28"/>
        <v>0</v>
      </c>
      <c r="V41" s="545"/>
      <c r="W41" s="546"/>
      <c r="X41" s="273">
        <f t="shared" si="29"/>
        <v>0</v>
      </c>
      <c r="Y41" s="545"/>
      <c r="Z41" s="546"/>
      <c r="AA41" s="273">
        <f t="shared" si="30"/>
        <v>0</v>
      </c>
      <c r="AB41" s="545"/>
      <c r="AC41" s="546"/>
      <c r="AD41" s="273">
        <f t="shared" si="31"/>
        <v>0</v>
      </c>
      <c r="AE41" s="545"/>
      <c r="AF41" s="546"/>
      <c r="AG41" s="273">
        <f t="shared" si="32"/>
        <v>0</v>
      </c>
      <c r="AH41" s="545"/>
      <c r="AI41" s="546"/>
      <c r="AJ41" s="273">
        <f t="shared" si="33"/>
        <v>0</v>
      </c>
      <c r="AK41" s="545"/>
      <c r="AL41" s="546"/>
      <c r="AM41" s="273">
        <f t="shared" si="34"/>
        <v>0</v>
      </c>
      <c r="AN41" s="545"/>
      <c r="AO41" s="546"/>
      <c r="AP41" s="273">
        <f t="shared" si="35"/>
        <v>0</v>
      </c>
      <c r="AQ41" s="545"/>
      <c r="AR41" s="546"/>
      <c r="AS41" s="273">
        <f t="shared" si="36"/>
        <v>0</v>
      </c>
      <c r="AT41" s="545"/>
      <c r="AU41" s="546"/>
      <c r="AV41" s="273">
        <f t="shared" si="37"/>
        <v>0</v>
      </c>
      <c r="AW41" s="545"/>
      <c r="AX41" s="546"/>
      <c r="AY41" s="273">
        <f t="shared" si="38"/>
        <v>0</v>
      </c>
      <c r="AZ41" s="545"/>
      <c r="BA41" s="546"/>
      <c r="BB41" s="273">
        <f t="shared" si="39"/>
        <v>0</v>
      </c>
      <c r="BC41" s="545"/>
      <c r="BD41" s="546"/>
      <c r="BE41" s="273">
        <f t="shared" si="40"/>
        <v>0</v>
      </c>
      <c r="BF41" s="545"/>
      <c r="BG41" s="546"/>
      <c r="BH41" s="273">
        <f t="shared" si="41"/>
        <v>0</v>
      </c>
      <c r="BI41" s="545"/>
      <c r="BJ41" s="546"/>
      <c r="BK41" s="273">
        <f t="shared" si="42"/>
        <v>0</v>
      </c>
      <c r="BL41" s="545"/>
      <c r="BM41" s="546"/>
      <c r="BN41" s="273">
        <f t="shared" si="43"/>
        <v>0</v>
      </c>
      <c r="BO41" s="545"/>
      <c r="BP41" s="546"/>
      <c r="BQ41" s="273">
        <f t="shared" si="44"/>
        <v>0</v>
      </c>
    </row>
    <row r="42" spans="1:70">
      <c r="A42" s="770"/>
      <c r="B42" s="774"/>
      <c r="C42" s="24" t="s">
        <v>171</v>
      </c>
      <c r="D42" s="270"/>
      <c r="E42" s="271"/>
      <c r="F42" s="272"/>
      <c r="G42" s="545"/>
      <c r="H42" s="546"/>
      <c r="I42" s="273">
        <f t="shared" si="24"/>
        <v>0</v>
      </c>
      <c r="J42" s="545"/>
      <c r="K42" s="546"/>
      <c r="L42" s="273">
        <f t="shared" si="25"/>
        <v>0</v>
      </c>
      <c r="M42" s="545"/>
      <c r="N42" s="546"/>
      <c r="O42" s="273">
        <f t="shared" si="26"/>
        <v>0</v>
      </c>
      <c r="P42" s="545"/>
      <c r="Q42" s="546"/>
      <c r="R42" s="273">
        <f t="shared" si="27"/>
        <v>0</v>
      </c>
      <c r="S42" s="545"/>
      <c r="T42" s="546"/>
      <c r="U42" s="273">
        <f t="shared" si="28"/>
        <v>0</v>
      </c>
      <c r="V42" s="545"/>
      <c r="W42" s="546"/>
      <c r="X42" s="273">
        <f t="shared" si="29"/>
        <v>0</v>
      </c>
      <c r="Y42" s="545"/>
      <c r="Z42" s="546"/>
      <c r="AA42" s="273">
        <f t="shared" si="30"/>
        <v>0</v>
      </c>
      <c r="AB42" s="545"/>
      <c r="AC42" s="546"/>
      <c r="AD42" s="273">
        <f t="shared" si="31"/>
        <v>0</v>
      </c>
      <c r="AE42" s="545"/>
      <c r="AF42" s="546"/>
      <c r="AG42" s="273">
        <f t="shared" si="32"/>
        <v>0</v>
      </c>
      <c r="AH42" s="545"/>
      <c r="AI42" s="546"/>
      <c r="AJ42" s="273">
        <f t="shared" si="33"/>
        <v>0</v>
      </c>
      <c r="AK42" s="545"/>
      <c r="AL42" s="546"/>
      <c r="AM42" s="273">
        <f t="shared" si="34"/>
        <v>0</v>
      </c>
      <c r="AN42" s="545"/>
      <c r="AO42" s="546"/>
      <c r="AP42" s="273">
        <f t="shared" si="35"/>
        <v>0</v>
      </c>
      <c r="AQ42" s="545"/>
      <c r="AR42" s="546"/>
      <c r="AS42" s="273">
        <f t="shared" si="36"/>
        <v>0</v>
      </c>
      <c r="AT42" s="545"/>
      <c r="AU42" s="546"/>
      <c r="AV42" s="273">
        <f t="shared" si="37"/>
        <v>0</v>
      </c>
      <c r="AW42" s="545"/>
      <c r="AX42" s="546"/>
      <c r="AY42" s="273">
        <f t="shared" si="38"/>
        <v>0</v>
      </c>
      <c r="AZ42" s="545"/>
      <c r="BA42" s="546"/>
      <c r="BB42" s="273">
        <f t="shared" si="39"/>
        <v>0</v>
      </c>
      <c r="BC42" s="545"/>
      <c r="BD42" s="546"/>
      <c r="BE42" s="273">
        <f t="shared" si="40"/>
        <v>0</v>
      </c>
      <c r="BF42" s="545"/>
      <c r="BG42" s="546"/>
      <c r="BH42" s="273">
        <f t="shared" si="41"/>
        <v>0</v>
      </c>
      <c r="BI42" s="545"/>
      <c r="BJ42" s="546"/>
      <c r="BK42" s="273">
        <f t="shared" si="42"/>
        <v>0</v>
      </c>
      <c r="BL42" s="545"/>
      <c r="BM42" s="546"/>
      <c r="BN42" s="273">
        <f t="shared" si="43"/>
        <v>0</v>
      </c>
      <c r="BO42" s="545"/>
      <c r="BP42" s="546"/>
      <c r="BQ42" s="273">
        <f t="shared" si="44"/>
        <v>0</v>
      </c>
    </row>
    <row r="43" spans="1:70">
      <c r="A43" s="770"/>
      <c r="B43" s="774"/>
      <c r="C43" s="24" t="s">
        <v>172</v>
      </c>
      <c r="D43" s="270"/>
      <c r="E43" s="271"/>
      <c r="F43" s="272"/>
      <c r="G43" s="545"/>
      <c r="H43" s="546"/>
      <c r="I43" s="273">
        <f t="shared" si="24"/>
        <v>0</v>
      </c>
      <c r="J43" s="545"/>
      <c r="K43" s="546"/>
      <c r="L43" s="273">
        <f t="shared" si="25"/>
        <v>0</v>
      </c>
      <c r="M43" s="545"/>
      <c r="N43" s="546"/>
      <c r="O43" s="273">
        <f t="shared" si="26"/>
        <v>0</v>
      </c>
      <c r="P43" s="545"/>
      <c r="Q43" s="546"/>
      <c r="R43" s="273">
        <f t="shared" si="27"/>
        <v>0</v>
      </c>
      <c r="S43" s="545"/>
      <c r="T43" s="546"/>
      <c r="U43" s="273">
        <f t="shared" si="28"/>
        <v>0</v>
      </c>
      <c r="V43" s="545"/>
      <c r="W43" s="546"/>
      <c r="X43" s="273">
        <f t="shared" si="29"/>
        <v>0</v>
      </c>
      <c r="Y43" s="545"/>
      <c r="Z43" s="546"/>
      <c r="AA43" s="273">
        <f t="shared" si="30"/>
        <v>0</v>
      </c>
      <c r="AB43" s="545"/>
      <c r="AC43" s="546"/>
      <c r="AD43" s="273">
        <f t="shared" si="31"/>
        <v>0</v>
      </c>
      <c r="AE43" s="545"/>
      <c r="AF43" s="546"/>
      <c r="AG43" s="273">
        <f t="shared" si="32"/>
        <v>0</v>
      </c>
      <c r="AH43" s="545"/>
      <c r="AI43" s="546"/>
      <c r="AJ43" s="273">
        <f t="shared" si="33"/>
        <v>0</v>
      </c>
      <c r="AK43" s="545"/>
      <c r="AL43" s="546"/>
      <c r="AM43" s="273">
        <f t="shared" si="34"/>
        <v>0</v>
      </c>
      <c r="AN43" s="545"/>
      <c r="AO43" s="546"/>
      <c r="AP43" s="273">
        <f t="shared" si="35"/>
        <v>0</v>
      </c>
      <c r="AQ43" s="545"/>
      <c r="AR43" s="546"/>
      <c r="AS43" s="273">
        <f t="shared" si="36"/>
        <v>0</v>
      </c>
      <c r="AT43" s="545"/>
      <c r="AU43" s="546"/>
      <c r="AV43" s="273">
        <f t="shared" si="37"/>
        <v>0</v>
      </c>
      <c r="AW43" s="545"/>
      <c r="AX43" s="546"/>
      <c r="AY43" s="273">
        <f t="shared" si="38"/>
        <v>0</v>
      </c>
      <c r="AZ43" s="545"/>
      <c r="BA43" s="546"/>
      <c r="BB43" s="273">
        <f t="shared" si="39"/>
        <v>0</v>
      </c>
      <c r="BC43" s="545"/>
      <c r="BD43" s="546"/>
      <c r="BE43" s="273">
        <f t="shared" si="40"/>
        <v>0</v>
      </c>
      <c r="BF43" s="545"/>
      <c r="BG43" s="546"/>
      <c r="BH43" s="273">
        <f t="shared" si="41"/>
        <v>0</v>
      </c>
      <c r="BI43" s="545"/>
      <c r="BJ43" s="546"/>
      <c r="BK43" s="273">
        <f t="shared" si="42"/>
        <v>0</v>
      </c>
      <c r="BL43" s="545"/>
      <c r="BM43" s="546"/>
      <c r="BN43" s="273">
        <f t="shared" si="43"/>
        <v>0</v>
      </c>
      <c r="BO43" s="545"/>
      <c r="BP43" s="546"/>
      <c r="BQ43" s="273">
        <f t="shared" si="44"/>
        <v>0</v>
      </c>
    </row>
    <row r="44" spans="1:70" ht="15.75" thickBot="1">
      <c r="A44" s="771"/>
      <c r="B44" s="775"/>
      <c r="C44" s="261" t="s">
        <v>173</v>
      </c>
      <c r="D44" s="274"/>
      <c r="E44" s="275"/>
      <c r="F44" s="276"/>
      <c r="G44" s="547"/>
      <c r="H44" s="548"/>
      <c r="I44" s="277">
        <f>H44-G44</f>
        <v>0</v>
      </c>
      <c r="J44" s="547"/>
      <c r="K44" s="548"/>
      <c r="L44" s="277">
        <f>K44-J44</f>
        <v>0</v>
      </c>
      <c r="M44" s="547"/>
      <c r="N44" s="548"/>
      <c r="O44" s="277">
        <f>N44-M44</f>
        <v>0</v>
      </c>
      <c r="P44" s="547"/>
      <c r="Q44" s="548"/>
      <c r="R44" s="277">
        <f>Q44-P44</f>
        <v>0</v>
      </c>
      <c r="S44" s="547"/>
      <c r="T44" s="548"/>
      <c r="U44" s="277">
        <f>T44-S44</f>
        <v>0</v>
      </c>
      <c r="V44" s="547"/>
      <c r="W44" s="548"/>
      <c r="X44" s="277">
        <f>W44-V44</f>
        <v>0</v>
      </c>
      <c r="Y44" s="547"/>
      <c r="Z44" s="548"/>
      <c r="AA44" s="277">
        <f>Z44-Y44</f>
        <v>0</v>
      </c>
      <c r="AB44" s="547"/>
      <c r="AC44" s="548"/>
      <c r="AD44" s="277">
        <f>AC44-AB44</f>
        <v>0</v>
      </c>
      <c r="AE44" s="547"/>
      <c r="AF44" s="548"/>
      <c r="AG44" s="277">
        <f>AF44-AE44</f>
        <v>0</v>
      </c>
      <c r="AH44" s="547"/>
      <c r="AI44" s="548"/>
      <c r="AJ44" s="277">
        <f>AI44-AH44</f>
        <v>0</v>
      </c>
      <c r="AK44" s="547"/>
      <c r="AL44" s="548"/>
      <c r="AM44" s="277">
        <f>AL44-AK44</f>
        <v>0</v>
      </c>
      <c r="AN44" s="547"/>
      <c r="AO44" s="548"/>
      <c r="AP44" s="277">
        <f>AO44-AN44</f>
        <v>0</v>
      </c>
      <c r="AQ44" s="547"/>
      <c r="AR44" s="548"/>
      <c r="AS44" s="277">
        <f>AR44-AQ44</f>
        <v>0</v>
      </c>
      <c r="AT44" s="547"/>
      <c r="AU44" s="548"/>
      <c r="AV44" s="277">
        <f>AU44-AT44</f>
        <v>0</v>
      </c>
      <c r="AW44" s="547"/>
      <c r="AX44" s="548"/>
      <c r="AY44" s="277">
        <f>AX44-AW44</f>
        <v>0</v>
      </c>
      <c r="AZ44" s="547"/>
      <c r="BA44" s="548"/>
      <c r="BB44" s="277">
        <f>BA44-AZ44</f>
        <v>0</v>
      </c>
      <c r="BC44" s="547"/>
      <c r="BD44" s="548"/>
      <c r="BE44" s="277">
        <f>BD44-BC44</f>
        <v>0</v>
      </c>
      <c r="BF44" s="547"/>
      <c r="BG44" s="548"/>
      <c r="BH44" s="277">
        <f>BG44-BF44</f>
        <v>0</v>
      </c>
      <c r="BI44" s="547"/>
      <c r="BJ44" s="548"/>
      <c r="BK44" s="277">
        <f>BJ44-BI44</f>
        <v>0</v>
      </c>
      <c r="BL44" s="547"/>
      <c r="BM44" s="548"/>
      <c r="BN44" s="277">
        <f>BM44-BL44</f>
        <v>0</v>
      </c>
      <c r="BO44" s="547"/>
      <c r="BP44" s="548"/>
      <c r="BQ44" s="277">
        <f>BP44-BO44</f>
        <v>0</v>
      </c>
    </row>
    <row r="45" spans="1:70" s="279" customFormat="1" ht="14.45" customHeight="1">
      <c r="A45" s="769" t="s">
        <v>217</v>
      </c>
      <c r="B45" s="773" t="s">
        <v>218</v>
      </c>
      <c r="C45" s="249" t="s">
        <v>164</v>
      </c>
      <c r="D45" s="442">
        <f t="shared" ref="D45" si="45">SUM(G45,J45,M45,P45,S45,V45,Y45,AB45,AE45,AH45,AK45,AN45,AQ45,AT45,AW45,AZ45,AZ45,BC45,BF45,BI45,BL45,BO45)</f>
        <v>0</v>
      </c>
      <c r="E45" s="443">
        <f t="shared" ref="E45:E64" si="46">SUM(H45,K45,N45,Q45,T45,W45,Z45,AC45,AF45,AI45,AL45,AO45,AR45,AU45,AX45,BA45,BA45,BD45,BG45,BJ45,BM45,BP45)</f>
        <v>0</v>
      </c>
      <c r="F45" s="268">
        <f>D45-E45</f>
        <v>0</v>
      </c>
      <c r="G45" s="543"/>
      <c r="H45" s="544"/>
      <c r="I45" s="269">
        <f t="shared" ref="I45:I53" si="47">H45-G45</f>
        <v>0</v>
      </c>
      <c r="J45" s="543"/>
      <c r="K45" s="544"/>
      <c r="L45" s="269">
        <f t="shared" ref="L45:L53" si="48">K45-J45</f>
        <v>0</v>
      </c>
      <c r="M45" s="543"/>
      <c r="N45" s="544"/>
      <c r="O45" s="269">
        <f t="shared" ref="O45:O53" si="49">N45-M45</f>
        <v>0</v>
      </c>
      <c r="P45" s="543"/>
      <c r="Q45" s="544"/>
      <c r="R45" s="269">
        <f t="shared" ref="R45:R53" si="50">Q45-P45</f>
        <v>0</v>
      </c>
      <c r="S45" s="543"/>
      <c r="T45" s="544"/>
      <c r="U45" s="269">
        <f t="shared" ref="U45:U53" si="51">T45-S45</f>
        <v>0</v>
      </c>
      <c r="V45" s="543">
        <v>0</v>
      </c>
      <c r="W45" s="544">
        <v>0</v>
      </c>
      <c r="X45" s="269">
        <f t="shared" ref="X45:X53" si="52">W45-V45</f>
        <v>0</v>
      </c>
      <c r="Y45" s="543"/>
      <c r="Z45" s="544"/>
      <c r="AA45" s="269">
        <f t="shared" ref="AA45:AA53" si="53">Z45-Y45</f>
        <v>0</v>
      </c>
      <c r="AB45" s="543"/>
      <c r="AC45" s="544"/>
      <c r="AD45" s="269">
        <f t="shared" ref="AD45:AD53" si="54">AC45-AB45</f>
        <v>0</v>
      </c>
      <c r="AE45" s="543"/>
      <c r="AF45" s="544"/>
      <c r="AG45" s="269">
        <f t="shared" ref="AG45:AG53" si="55">AF45-AE45</f>
        <v>0</v>
      </c>
      <c r="AH45" s="543"/>
      <c r="AI45" s="544"/>
      <c r="AJ45" s="269">
        <f t="shared" ref="AJ45:AJ53" si="56">AI45-AH45</f>
        <v>0</v>
      </c>
      <c r="AK45" s="543">
        <v>0</v>
      </c>
      <c r="AL45" s="544">
        <v>0</v>
      </c>
      <c r="AM45" s="269">
        <f t="shared" ref="AM45:AM53" si="57">AL45-AK45</f>
        <v>0</v>
      </c>
      <c r="AN45" s="543"/>
      <c r="AO45" s="544"/>
      <c r="AP45" s="269">
        <f t="shared" ref="AP45:AP53" si="58">AO45-AN45</f>
        <v>0</v>
      </c>
      <c r="AQ45" s="543"/>
      <c r="AR45" s="544"/>
      <c r="AS45" s="269">
        <f t="shared" ref="AS45:AS53" si="59">AR45-AQ45</f>
        <v>0</v>
      </c>
      <c r="AT45" s="543"/>
      <c r="AU45" s="544"/>
      <c r="AV45" s="269">
        <f t="shared" ref="AV45:AV53" si="60">AU45-AT45</f>
        <v>0</v>
      </c>
      <c r="AW45" s="543"/>
      <c r="AX45" s="544"/>
      <c r="AY45" s="269">
        <f t="shared" ref="AY45:AY53" si="61">AX45-AW45</f>
        <v>0</v>
      </c>
      <c r="AZ45" s="543">
        <v>0</v>
      </c>
      <c r="BA45" s="544">
        <v>0</v>
      </c>
      <c r="BB45" s="269">
        <f t="shared" ref="BB45:BB53" si="62">BA45-AZ45</f>
        <v>0</v>
      </c>
      <c r="BC45" s="543"/>
      <c r="BD45" s="544"/>
      <c r="BE45" s="269">
        <f t="shared" ref="BE45:BE53" si="63">BD45-BC45</f>
        <v>0</v>
      </c>
      <c r="BF45" s="543"/>
      <c r="BG45" s="544"/>
      <c r="BH45" s="269">
        <f t="shared" ref="BH45:BH53" si="64">BG45-BF45</f>
        <v>0</v>
      </c>
      <c r="BI45" s="543"/>
      <c r="BJ45" s="544"/>
      <c r="BK45" s="269">
        <f t="shared" ref="BK45:BK53" si="65">BJ45-BI45</f>
        <v>0</v>
      </c>
      <c r="BL45" s="543"/>
      <c r="BM45" s="544"/>
      <c r="BN45" s="269">
        <f t="shared" ref="BN45:BN53" si="66">BM45-BL45</f>
        <v>0</v>
      </c>
      <c r="BO45" s="543">
        <v>0</v>
      </c>
      <c r="BP45" s="544">
        <v>0</v>
      </c>
      <c r="BQ45" s="269">
        <f t="shared" si="44"/>
        <v>0</v>
      </c>
      <c r="BR45" s="278">
        <f>'Analyza citlivosti - AgendovéIS'!Q7</f>
        <v>0</v>
      </c>
    </row>
    <row r="46" spans="1:70">
      <c r="A46" s="770"/>
      <c r="B46" s="774"/>
      <c r="C46" s="24" t="s">
        <v>165</v>
      </c>
      <c r="D46" s="444">
        <f t="shared" ref="D46:D61" si="67">SUM(G46,J46,M46,P46,S46,V46,Y46,AB46,AE46,AH46,AK46,AN46,AQ46,AT46,AW46,AZ46,AZ46,BC46,BF46,BI46,BL46,BO46)</f>
        <v>0</v>
      </c>
      <c r="E46" s="445">
        <f t="shared" si="46"/>
        <v>0</v>
      </c>
      <c r="F46" s="272">
        <f t="shared" ref="F46:F54" si="68">D46-E46</f>
        <v>0</v>
      </c>
      <c r="G46" s="545"/>
      <c r="H46" s="546"/>
      <c r="I46" s="273">
        <f t="shared" si="47"/>
        <v>0</v>
      </c>
      <c r="J46" s="545"/>
      <c r="K46" s="546"/>
      <c r="L46" s="273">
        <f t="shared" si="48"/>
        <v>0</v>
      </c>
      <c r="M46" s="545"/>
      <c r="N46" s="546"/>
      <c r="O46" s="273">
        <f t="shared" si="49"/>
        <v>0</v>
      </c>
      <c r="P46" s="545"/>
      <c r="Q46" s="546"/>
      <c r="R46" s="273">
        <f t="shared" si="50"/>
        <v>0</v>
      </c>
      <c r="S46" s="545"/>
      <c r="T46" s="546"/>
      <c r="U46" s="273">
        <f t="shared" si="51"/>
        <v>0</v>
      </c>
      <c r="V46" s="545">
        <v>0</v>
      </c>
      <c r="W46" s="546">
        <v>0</v>
      </c>
      <c r="X46" s="273">
        <f t="shared" si="52"/>
        <v>0</v>
      </c>
      <c r="Y46" s="545"/>
      <c r="Z46" s="546"/>
      <c r="AA46" s="273">
        <f t="shared" si="53"/>
        <v>0</v>
      </c>
      <c r="AB46" s="545"/>
      <c r="AC46" s="546"/>
      <c r="AD46" s="273">
        <f t="shared" si="54"/>
        <v>0</v>
      </c>
      <c r="AE46" s="545"/>
      <c r="AF46" s="546"/>
      <c r="AG46" s="273">
        <f t="shared" si="55"/>
        <v>0</v>
      </c>
      <c r="AH46" s="545"/>
      <c r="AI46" s="546"/>
      <c r="AJ46" s="273">
        <f t="shared" si="56"/>
        <v>0</v>
      </c>
      <c r="AK46" s="545">
        <v>0</v>
      </c>
      <c r="AL46" s="546">
        <v>0</v>
      </c>
      <c r="AM46" s="273">
        <f t="shared" si="57"/>
        <v>0</v>
      </c>
      <c r="AN46" s="545"/>
      <c r="AO46" s="546"/>
      <c r="AP46" s="273">
        <f t="shared" si="58"/>
        <v>0</v>
      </c>
      <c r="AQ46" s="545"/>
      <c r="AR46" s="546"/>
      <c r="AS46" s="273">
        <f t="shared" si="59"/>
        <v>0</v>
      </c>
      <c r="AT46" s="545"/>
      <c r="AU46" s="546"/>
      <c r="AV46" s="273">
        <f t="shared" si="60"/>
        <v>0</v>
      </c>
      <c r="AW46" s="545"/>
      <c r="AX46" s="546"/>
      <c r="AY46" s="273">
        <f t="shared" si="61"/>
        <v>0</v>
      </c>
      <c r="AZ46" s="545">
        <v>0</v>
      </c>
      <c r="BA46" s="546">
        <v>0</v>
      </c>
      <c r="BB46" s="273">
        <f t="shared" si="62"/>
        <v>0</v>
      </c>
      <c r="BC46" s="545"/>
      <c r="BD46" s="546"/>
      <c r="BE46" s="273">
        <f t="shared" si="63"/>
        <v>0</v>
      </c>
      <c r="BF46" s="545"/>
      <c r="BG46" s="546"/>
      <c r="BH46" s="273">
        <f t="shared" si="64"/>
        <v>0</v>
      </c>
      <c r="BI46" s="545"/>
      <c r="BJ46" s="546"/>
      <c r="BK46" s="273">
        <f t="shared" si="65"/>
        <v>0</v>
      </c>
      <c r="BL46" s="545"/>
      <c r="BM46" s="546"/>
      <c r="BN46" s="273">
        <f t="shared" si="66"/>
        <v>0</v>
      </c>
      <c r="BO46" s="545">
        <v>0</v>
      </c>
      <c r="BP46" s="546">
        <v>0</v>
      </c>
      <c r="BQ46" s="273">
        <f t="shared" si="44"/>
        <v>0</v>
      </c>
    </row>
    <row r="47" spans="1:70">
      <c r="A47" s="770"/>
      <c r="B47" s="774"/>
      <c r="C47" s="24" t="s">
        <v>166</v>
      </c>
      <c r="D47" s="444">
        <f t="shared" si="67"/>
        <v>0</v>
      </c>
      <c r="E47" s="445">
        <f t="shared" si="46"/>
        <v>0</v>
      </c>
      <c r="F47" s="272">
        <f t="shared" si="68"/>
        <v>0</v>
      </c>
      <c r="G47" s="545"/>
      <c r="H47" s="546"/>
      <c r="I47" s="273">
        <f t="shared" si="47"/>
        <v>0</v>
      </c>
      <c r="J47" s="545"/>
      <c r="K47" s="546"/>
      <c r="L47" s="273">
        <f t="shared" si="48"/>
        <v>0</v>
      </c>
      <c r="M47" s="545"/>
      <c r="N47" s="546"/>
      <c r="O47" s="273">
        <f t="shared" si="49"/>
        <v>0</v>
      </c>
      <c r="P47" s="545"/>
      <c r="Q47" s="546"/>
      <c r="R47" s="273">
        <f t="shared" si="50"/>
        <v>0</v>
      </c>
      <c r="S47" s="545"/>
      <c r="T47" s="546"/>
      <c r="U47" s="273">
        <f t="shared" si="51"/>
        <v>0</v>
      </c>
      <c r="V47" s="545">
        <v>0</v>
      </c>
      <c r="W47" s="546">
        <v>0</v>
      </c>
      <c r="X47" s="273">
        <f t="shared" si="52"/>
        <v>0</v>
      </c>
      <c r="Y47" s="545"/>
      <c r="Z47" s="546"/>
      <c r="AA47" s="273">
        <f t="shared" si="53"/>
        <v>0</v>
      </c>
      <c r="AB47" s="545"/>
      <c r="AC47" s="546"/>
      <c r="AD47" s="273">
        <f t="shared" si="54"/>
        <v>0</v>
      </c>
      <c r="AE47" s="545"/>
      <c r="AF47" s="546"/>
      <c r="AG47" s="273">
        <f t="shared" si="55"/>
        <v>0</v>
      </c>
      <c r="AH47" s="545"/>
      <c r="AI47" s="546"/>
      <c r="AJ47" s="273">
        <f t="shared" si="56"/>
        <v>0</v>
      </c>
      <c r="AK47" s="545">
        <v>0</v>
      </c>
      <c r="AL47" s="546">
        <v>0</v>
      </c>
      <c r="AM47" s="273">
        <f t="shared" si="57"/>
        <v>0</v>
      </c>
      <c r="AN47" s="545"/>
      <c r="AO47" s="546"/>
      <c r="AP47" s="273">
        <f t="shared" si="58"/>
        <v>0</v>
      </c>
      <c r="AQ47" s="545"/>
      <c r="AR47" s="546"/>
      <c r="AS47" s="273">
        <f t="shared" si="59"/>
        <v>0</v>
      </c>
      <c r="AT47" s="545"/>
      <c r="AU47" s="546"/>
      <c r="AV47" s="273">
        <f t="shared" si="60"/>
        <v>0</v>
      </c>
      <c r="AW47" s="545"/>
      <c r="AX47" s="546"/>
      <c r="AY47" s="273">
        <f t="shared" si="61"/>
        <v>0</v>
      </c>
      <c r="AZ47" s="545">
        <v>0</v>
      </c>
      <c r="BA47" s="546">
        <v>0</v>
      </c>
      <c r="BB47" s="273">
        <f t="shared" si="62"/>
        <v>0</v>
      </c>
      <c r="BC47" s="545"/>
      <c r="BD47" s="546"/>
      <c r="BE47" s="273">
        <f t="shared" si="63"/>
        <v>0</v>
      </c>
      <c r="BF47" s="545"/>
      <c r="BG47" s="546"/>
      <c r="BH47" s="273">
        <f t="shared" si="64"/>
        <v>0</v>
      </c>
      <c r="BI47" s="545"/>
      <c r="BJ47" s="546"/>
      <c r="BK47" s="273">
        <f t="shared" si="65"/>
        <v>0</v>
      </c>
      <c r="BL47" s="545"/>
      <c r="BM47" s="546"/>
      <c r="BN47" s="273">
        <f t="shared" si="66"/>
        <v>0</v>
      </c>
      <c r="BO47" s="545">
        <v>0</v>
      </c>
      <c r="BP47" s="546">
        <v>0</v>
      </c>
      <c r="BQ47" s="273">
        <f t="shared" si="44"/>
        <v>0</v>
      </c>
    </row>
    <row r="48" spans="1:70">
      <c r="A48" s="770"/>
      <c r="B48" s="774"/>
      <c r="C48" s="24" t="s">
        <v>167</v>
      </c>
      <c r="D48" s="444">
        <f t="shared" si="67"/>
        <v>0</v>
      </c>
      <c r="E48" s="445">
        <f t="shared" si="46"/>
        <v>0</v>
      </c>
      <c r="F48" s="272">
        <f t="shared" si="68"/>
        <v>0</v>
      </c>
      <c r="G48" s="545"/>
      <c r="H48" s="546"/>
      <c r="I48" s="273">
        <f t="shared" si="47"/>
        <v>0</v>
      </c>
      <c r="J48" s="545"/>
      <c r="K48" s="546"/>
      <c r="L48" s="273">
        <f t="shared" si="48"/>
        <v>0</v>
      </c>
      <c r="M48" s="545"/>
      <c r="N48" s="546"/>
      <c r="O48" s="273">
        <f t="shared" si="49"/>
        <v>0</v>
      </c>
      <c r="P48" s="545"/>
      <c r="Q48" s="546"/>
      <c r="R48" s="273">
        <f t="shared" si="50"/>
        <v>0</v>
      </c>
      <c r="S48" s="545"/>
      <c r="T48" s="546"/>
      <c r="U48" s="273">
        <f t="shared" si="51"/>
        <v>0</v>
      </c>
      <c r="V48" s="545">
        <v>0</v>
      </c>
      <c r="W48" s="546">
        <v>0</v>
      </c>
      <c r="X48" s="273">
        <f t="shared" si="52"/>
        <v>0</v>
      </c>
      <c r="Y48" s="545"/>
      <c r="Z48" s="546"/>
      <c r="AA48" s="273">
        <f t="shared" si="53"/>
        <v>0</v>
      </c>
      <c r="AB48" s="545"/>
      <c r="AC48" s="546"/>
      <c r="AD48" s="273">
        <f t="shared" si="54"/>
        <v>0</v>
      </c>
      <c r="AE48" s="545"/>
      <c r="AF48" s="546"/>
      <c r="AG48" s="273">
        <f t="shared" si="55"/>
        <v>0</v>
      </c>
      <c r="AH48" s="545"/>
      <c r="AI48" s="546"/>
      <c r="AJ48" s="273">
        <f t="shared" si="56"/>
        <v>0</v>
      </c>
      <c r="AK48" s="545">
        <v>0</v>
      </c>
      <c r="AL48" s="546">
        <v>0</v>
      </c>
      <c r="AM48" s="273">
        <f t="shared" si="57"/>
        <v>0</v>
      </c>
      <c r="AN48" s="545"/>
      <c r="AO48" s="546"/>
      <c r="AP48" s="273">
        <f t="shared" si="58"/>
        <v>0</v>
      </c>
      <c r="AQ48" s="545"/>
      <c r="AR48" s="546"/>
      <c r="AS48" s="273">
        <f t="shared" si="59"/>
        <v>0</v>
      </c>
      <c r="AT48" s="545"/>
      <c r="AU48" s="546"/>
      <c r="AV48" s="273">
        <f t="shared" si="60"/>
        <v>0</v>
      </c>
      <c r="AW48" s="545"/>
      <c r="AX48" s="546"/>
      <c r="AY48" s="273">
        <f t="shared" si="61"/>
        <v>0</v>
      </c>
      <c r="AZ48" s="545">
        <v>0</v>
      </c>
      <c r="BA48" s="546">
        <v>0</v>
      </c>
      <c r="BB48" s="273">
        <f t="shared" si="62"/>
        <v>0</v>
      </c>
      <c r="BC48" s="545"/>
      <c r="BD48" s="546"/>
      <c r="BE48" s="273">
        <f t="shared" si="63"/>
        <v>0</v>
      </c>
      <c r="BF48" s="545"/>
      <c r="BG48" s="546"/>
      <c r="BH48" s="273">
        <f t="shared" si="64"/>
        <v>0</v>
      </c>
      <c r="BI48" s="545"/>
      <c r="BJ48" s="546"/>
      <c r="BK48" s="273">
        <f t="shared" si="65"/>
        <v>0</v>
      </c>
      <c r="BL48" s="545"/>
      <c r="BM48" s="546"/>
      <c r="BN48" s="273">
        <f t="shared" si="66"/>
        <v>0</v>
      </c>
      <c r="BO48" s="545">
        <v>0</v>
      </c>
      <c r="BP48" s="546">
        <v>0</v>
      </c>
      <c r="BQ48" s="273">
        <f t="shared" si="44"/>
        <v>0</v>
      </c>
    </row>
    <row r="49" spans="1:70">
      <c r="A49" s="770"/>
      <c r="B49" s="774"/>
      <c r="C49" s="24" t="s">
        <v>168</v>
      </c>
      <c r="D49" s="444">
        <f t="shared" si="67"/>
        <v>0</v>
      </c>
      <c r="E49" s="445">
        <f t="shared" si="46"/>
        <v>0</v>
      </c>
      <c r="F49" s="272">
        <f t="shared" si="68"/>
        <v>0</v>
      </c>
      <c r="G49" s="545"/>
      <c r="H49" s="546"/>
      <c r="I49" s="273">
        <f t="shared" si="47"/>
        <v>0</v>
      </c>
      <c r="J49" s="545"/>
      <c r="K49" s="546"/>
      <c r="L49" s="273">
        <f t="shared" si="48"/>
        <v>0</v>
      </c>
      <c r="M49" s="545"/>
      <c r="N49" s="546"/>
      <c r="O49" s="273">
        <f t="shared" si="49"/>
        <v>0</v>
      </c>
      <c r="P49" s="545"/>
      <c r="Q49" s="546"/>
      <c r="R49" s="273">
        <f t="shared" si="50"/>
        <v>0</v>
      </c>
      <c r="S49" s="545"/>
      <c r="T49" s="546"/>
      <c r="U49" s="273">
        <f t="shared" si="51"/>
        <v>0</v>
      </c>
      <c r="V49" s="545">
        <v>0</v>
      </c>
      <c r="W49" s="546">
        <v>0</v>
      </c>
      <c r="X49" s="273">
        <f t="shared" si="52"/>
        <v>0</v>
      </c>
      <c r="Y49" s="545"/>
      <c r="Z49" s="546"/>
      <c r="AA49" s="273">
        <f t="shared" si="53"/>
        <v>0</v>
      </c>
      <c r="AB49" s="545"/>
      <c r="AC49" s="546"/>
      <c r="AD49" s="273">
        <f t="shared" si="54"/>
        <v>0</v>
      </c>
      <c r="AE49" s="545"/>
      <c r="AF49" s="546"/>
      <c r="AG49" s="273">
        <f t="shared" si="55"/>
        <v>0</v>
      </c>
      <c r="AH49" s="545"/>
      <c r="AI49" s="546"/>
      <c r="AJ49" s="273">
        <f t="shared" si="56"/>
        <v>0</v>
      </c>
      <c r="AK49" s="545">
        <v>0</v>
      </c>
      <c r="AL49" s="546">
        <v>0</v>
      </c>
      <c r="AM49" s="273">
        <f t="shared" si="57"/>
        <v>0</v>
      </c>
      <c r="AN49" s="545"/>
      <c r="AO49" s="546"/>
      <c r="AP49" s="273">
        <f t="shared" si="58"/>
        <v>0</v>
      </c>
      <c r="AQ49" s="545"/>
      <c r="AR49" s="546"/>
      <c r="AS49" s="273">
        <f t="shared" si="59"/>
        <v>0</v>
      </c>
      <c r="AT49" s="545"/>
      <c r="AU49" s="546"/>
      <c r="AV49" s="273">
        <f t="shared" si="60"/>
        <v>0</v>
      </c>
      <c r="AW49" s="545"/>
      <c r="AX49" s="546"/>
      <c r="AY49" s="273">
        <f t="shared" si="61"/>
        <v>0</v>
      </c>
      <c r="AZ49" s="545">
        <v>0</v>
      </c>
      <c r="BA49" s="546">
        <v>0</v>
      </c>
      <c r="BB49" s="273">
        <f t="shared" si="62"/>
        <v>0</v>
      </c>
      <c r="BC49" s="545"/>
      <c r="BD49" s="546"/>
      <c r="BE49" s="273">
        <f t="shared" si="63"/>
        <v>0</v>
      </c>
      <c r="BF49" s="545"/>
      <c r="BG49" s="546"/>
      <c r="BH49" s="273">
        <f t="shared" si="64"/>
        <v>0</v>
      </c>
      <c r="BI49" s="545"/>
      <c r="BJ49" s="546"/>
      <c r="BK49" s="273">
        <f t="shared" si="65"/>
        <v>0</v>
      </c>
      <c r="BL49" s="545"/>
      <c r="BM49" s="546"/>
      <c r="BN49" s="273">
        <f t="shared" si="66"/>
        <v>0</v>
      </c>
      <c r="BO49" s="545">
        <v>0</v>
      </c>
      <c r="BP49" s="546">
        <v>0</v>
      </c>
      <c r="BQ49" s="273">
        <f t="shared" si="44"/>
        <v>0</v>
      </c>
    </row>
    <row r="50" spans="1:70">
      <c r="A50" s="770"/>
      <c r="B50" s="774"/>
      <c r="C50" s="24" t="s">
        <v>169</v>
      </c>
      <c r="D50" s="444">
        <f t="shared" si="67"/>
        <v>0</v>
      </c>
      <c r="E50" s="445">
        <f t="shared" si="46"/>
        <v>0</v>
      </c>
      <c r="F50" s="272">
        <f t="shared" si="68"/>
        <v>0</v>
      </c>
      <c r="G50" s="545"/>
      <c r="H50" s="546"/>
      <c r="I50" s="273">
        <f t="shared" si="47"/>
        <v>0</v>
      </c>
      <c r="J50" s="545"/>
      <c r="K50" s="546"/>
      <c r="L50" s="273">
        <f t="shared" si="48"/>
        <v>0</v>
      </c>
      <c r="M50" s="545"/>
      <c r="N50" s="546"/>
      <c r="O50" s="273">
        <f t="shared" si="49"/>
        <v>0</v>
      </c>
      <c r="P50" s="545"/>
      <c r="Q50" s="546"/>
      <c r="R50" s="273">
        <f t="shared" si="50"/>
        <v>0</v>
      </c>
      <c r="S50" s="545"/>
      <c r="T50" s="546"/>
      <c r="U50" s="273">
        <f t="shared" si="51"/>
        <v>0</v>
      </c>
      <c r="V50" s="545">
        <v>0</v>
      </c>
      <c r="W50" s="546">
        <v>0</v>
      </c>
      <c r="X50" s="273">
        <f t="shared" si="52"/>
        <v>0</v>
      </c>
      <c r="Y50" s="545"/>
      <c r="Z50" s="546"/>
      <c r="AA50" s="273">
        <f t="shared" si="53"/>
        <v>0</v>
      </c>
      <c r="AB50" s="545"/>
      <c r="AC50" s="546"/>
      <c r="AD50" s="273">
        <f t="shared" si="54"/>
        <v>0</v>
      </c>
      <c r="AE50" s="545"/>
      <c r="AF50" s="546"/>
      <c r="AG50" s="273">
        <f t="shared" si="55"/>
        <v>0</v>
      </c>
      <c r="AH50" s="545"/>
      <c r="AI50" s="546"/>
      <c r="AJ50" s="273">
        <f t="shared" si="56"/>
        <v>0</v>
      </c>
      <c r="AK50" s="545">
        <v>0</v>
      </c>
      <c r="AL50" s="546">
        <v>0</v>
      </c>
      <c r="AM50" s="273">
        <f t="shared" si="57"/>
        <v>0</v>
      </c>
      <c r="AN50" s="545"/>
      <c r="AO50" s="546"/>
      <c r="AP50" s="273">
        <f t="shared" si="58"/>
        <v>0</v>
      </c>
      <c r="AQ50" s="545"/>
      <c r="AR50" s="546"/>
      <c r="AS50" s="273">
        <f t="shared" si="59"/>
        <v>0</v>
      </c>
      <c r="AT50" s="545"/>
      <c r="AU50" s="546"/>
      <c r="AV50" s="273">
        <f t="shared" si="60"/>
        <v>0</v>
      </c>
      <c r="AW50" s="545"/>
      <c r="AX50" s="546"/>
      <c r="AY50" s="273">
        <f t="shared" si="61"/>
        <v>0</v>
      </c>
      <c r="AZ50" s="545">
        <v>0</v>
      </c>
      <c r="BA50" s="546">
        <v>0</v>
      </c>
      <c r="BB50" s="273">
        <f t="shared" si="62"/>
        <v>0</v>
      </c>
      <c r="BC50" s="545"/>
      <c r="BD50" s="546"/>
      <c r="BE50" s="273">
        <f t="shared" si="63"/>
        <v>0</v>
      </c>
      <c r="BF50" s="545"/>
      <c r="BG50" s="546"/>
      <c r="BH50" s="273">
        <f t="shared" si="64"/>
        <v>0</v>
      </c>
      <c r="BI50" s="545"/>
      <c r="BJ50" s="546"/>
      <c r="BK50" s="273">
        <f t="shared" si="65"/>
        <v>0</v>
      </c>
      <c r="BL50" s="545"/>
      <c r="BM50" s="546"/>
      <c r="BN50" s="273">
        <f t="shared" si="66"/>
        <v>0</v>
      </c>
      <c r="BO50" s="545">
        <v>0</v>
      </c>
      <c r="BP50" s="546">
        <v>0</v>
      </c>
      <c r="BQ50" s="273">
        <f t="shared" si="44"/>
        <v>0</v>
      </c>
    </row>
    <row r="51" spans="1:70">
      <c r="A51" s="770"/>
      <c r="B51" s="774"/>
      <c r="C51" s="24" t="s">
        <v>170</v>
      </c>
      <c r="D51" s="444">
        <f t="shared" si="67"/>
        <v>0</v>
      </c>
      <c r="E51" s="445">
        <f t="shared" si="46"/>
        <v>0</v>
      </c>
      <c r="F51" s="272">
        <f t="shared" si="68"/>
        <v>0</v>
      </c>
      <c r="G51" s="545"/>
      <c r="H51" s="546"/>
      <c r="I51" s="273">
        <f t="shared" si="47"/>
        <v>0</v>
      </c>
      <c r="J51" s="545"/>
      <c r="K51" s="546"/>
      <c r="L51" s="273">
        <f t="shared" si="48"/>
        <v>0</v>
      </c>
      <c r="M51" s="545"/>
      <c r="N51" s="546"/>
      <c r="O51" s="273">
        <f t="shared" si="49"/>
        <v>0</v>
      </c>
      <c r="P51" s="545"/>
      <c r="Q51" s="546"/>
      <c r="R51" s="273">
        <f t="shared" si="50"/>
        <v>0</v>
      </c>
      <c r="S51" s="545"/>
      <c r="T51" s="546"/>
      <c r="U51" s="273">
        <f t="shared" si="51"/>
        <v>0</v>
      </c>
      <c r="V51" s="545">
        <v>0</v>
      </c>
      <c r="W51" s="546">
        <v>0</v>
      </c>
      <c r="X51" s="273">
        <f t="shared" si="52"/>
        <v>0</v>
      </c>
      <c r="Y51" s="545"/>
      <c r="Z51" s="546"/>
      <c r="AA51" s="273">
        <f t="shared" si="53"/>
        <v>0</v>
      </c>
      <c r="AB51" s="545"/>
      <c r="AC51" s="546"/>
      <c r="AD51" s="273">
        <f t="shared" si="54"/>
        <v>0</v>
      </c>
      <c r="AE51" s="545"/>
      <c r="AF51" s="546"/>
      <c r="AG51" s="273">
        <f t="shared" si="55"/>
        <v>0</v>
      </c>
      <c r="AH51" s="545"/>
      <c r="AI51" s="546"/>
      <c r="AJ51" s="273">
        <f t="shared" si="56"/>
        <v>0</v>
      </c>
      <c r="AK51" s="545">
        <v>0</v>
      </c>
      <c r="AL51" s="546">
        <v>0</v>
      </c>
      <c r="AM51" s="273">
        <f t="shared" si="57"/>
        <v>0</v>
      </c>
      <c r="AN51" s="545"/>
      <c r="AO51" s="546"/>
      <c r="AP51" s="273">
        <f t="shared" si="58"/>
        <v>0</v>
      </c>
      <c r="AQ51" s="545"/>
      <c r="AR51" s="546"/>
      <c r="AS51" s="273">
        <f t="shared" si="59"/>
        <v>0</v>
      </c>
      <c r="AT51" s="545"/>
      <c r="AU51" s="546"/>
      <c r="AV51" s="273">
        <f t="shared" si="60"/>
        <v>0</v>
      </c>
      <c r="AW51" s="545"/>
      <c r="AX51" s="546"/>
      <c r="AY51" s="273">
        <f t="shared" si="61"/>
        <v>0</v>
      </c>
      <c r="AZ51" s="545">
        <v>0</v>
      </c>
      <c r="BA51" s="546">
        <v>0</v>
      </c>
      <c r="BB51" s="273">
        <f t="shared" si="62"/>
        <v>0</v>
      </c>
      <c r="BC51" s="545"/>
      <c r="BD51" s="546"/>
      <c r="BE51" s="273">
        <f t="shared" si="63"/>
        <v>0</v>
      </c>
      <c r="BF51" s="545"/>
      <c r="BG51" s="546"/>
      <c r="BH51" s="273">
        <f t="shared" si="64"/>
        <v>0</v>
      </c>
      <c r="BI51" s="545"/>
      <c r="BJ51" s="546"/>
      <c r="BK51" s="273">
        <f t="shared" si="65"/>
        <v>0</v>
      </c>
      <c r="BL51" s="545"/>
      <c r="BM51" s="546"/>
      <c r="BN51" s="273">
        <f t="shared" si="66"/>
        <v>0</v>
      </c>
      <c r="BO51" s="545">
        <v>0</v>
      </c>
      <c r="BP51" s="546">
        <v>0</v>
      </c>
      <c r="BQ51" s="273">
        <f t="shared" si="44"/>
        <v>0</v>
      </c>
    </row>
    <row r="52" spans="1:70">
      <c r="A52" s="770"/>
      <c r="B52" s="774"/>
      <c r="C52" s="24" t="s">
        <v>171</v>
      </c>
      <c r="D52" s="444">
        <f t="shared" si="67"/>
        <v>0</v>
      </c>
      <c r="E52" s="445">
        <f t="shared" si="46"/>
        <v>0</v>
      </c>
      <c r="F52" s="272">
        <f t="shared" si="68"/>
        <v>0</v>
      </c>
      <c r="G52" s="545"/>
      <c r="H52" s="546"/>
      <c r="I52" s="273">
        <f t="shared" si="47"/>
        <v>0</v>
      </c>
      <c r="J52" s="545"/>
      <c r="K52" s="546"/>
      <c r="L52" s="273">
        <f t="shared" si="48"/>
        <v>0</v>
      </c>
      <c r="M52" s="545"/>
      <c r="N52" s="546"/>
      <c r="O52" s="273">
        <f t="shared" si="49"/>
        <v>0</v>
      </c>
      <c r="P52" s="545"/>
      <c r="Q52" s="546"/>
      <c r="R52" s="273">
        <f t="shared" si="50"/>
        <v>0</v>
      </c>
      <c r="S52" s="545"/>
      <c r="T52" s="546"/>
      <c r="U52" s="273">
        <f t="shared" si="51"/>
        <v>0</v>
      </c>
      <c r="V52" s="545">
        <v>0</v>
      </c>
      <c r="W52" s="546">
        <v>0</v>
      </c>
      <c r="X52" s="273">
        <f t="shared" si="52"/>
        <v>0</v>
      </c>
      <c r="Y52" s="545"/>
      <c r="Z52" s="546"/>
      <c r="AA52" s="273">
        <f t="shared" si="53"/>
        <v>0</v>
      </c>
      <c r="AB52" s="545"/>
      <c r="AC52" s="546"/>
      <c r="AD52" s="273">
        <f t="shared" si="54"/>
        <v>0</v>
      </c>
      <c r="AE52" s="545"/>
      <c r="AF52" s="546"/>
      <c r="AG52" s="273">
        <f t="shared" si="55"/>
        <v>0</v>
      </c>
      <c r="AH52" s="545"/>
      <c r="AI52" s="546"/>
      <c r="AJ52" s="273">
        <f t="shared" si="56"/>
        <v>0</v>
      </c>
      <c r="AK52" s="545">
        <v>0</v>
      </c>
      <c r="AL52" s="546">
        <v>0</v>
      </c>
      <c r="AM52" s="273">
        <f t="shared" si="57"/>
        <v>0</v>
      </c>
      <c r="AN52" s="545"/>
      <c r="AO52" s="546"/>
      <c r="AP52" s="273">
        <f t="shared" si="58"/>
        <v>0</v>
      </c>
      <c r="AQ52" s="545"/>
      <c r="AR52" s="546"/>
      <c r="AS52" s="273">
        <f t="shared" si="59"/>
        <v>0</v>
      </c>
      <c r="AT52" s="545"/>
      <c r="AU52" s="546"/>
      <c r="AV52" s="273">
        <f t="shared" si="60"/>
        <v>0</v>
      </c>
      <c r="AW52" s="545"/>
      <c r="AX52" s="546"/>
      <c r="AY52" s="273">
        <f t="shared" si="61"/>
        <v>0</v>
      </c>
      <c r="AZ52" s="545">
        <v>0</v>
      </c>
      <c r="BA52" s="546">
        <v>0</v>
      </c>
      <c r="BB52" s="273">
        <f t="shared" si="62"/>
        <v>0</v>
      </c>
      <c r="BC52" s="545"/>
      <c r="BD52" s="546"/>
      <c r="BE52" s="273">
        <f t="shared" si="63"/>
        <v>0</v>
      </c>
      <c r="BF52" s="545"/>
      <c r="BG52" s="546"/>
      <c r="BH52" s="273">
        <f t="shared" si="64"/>
        <v>0</v>
      </c>
      <c r="BI52" s="545"/>
      <c r="BJ52" s="546"/>
      <c r="BK52" s="273">
        <f t="shared" si="65"/>
        <v>0</v>
      </c>
      <c r="BL52" s="545"/>
      <c r="BM52" s="546"/>
      <c r="BN52" s="273">
        <f t="shared" si="66"/>
        <v>0</v>
      </c>
      <c r="BO52" s="545">
        <v>0</v>
      </c>
      <c r="BP52" s="546">
        <v>0</v>
      </c>
      <c r="BQ52" s="273">
        <f t="shared" si="44"/>
        <v>0</v>
      </c>
    </row>
    <row r="53" spans="1:70">
      <c r="A53" s="770"/>
      <c r="B53" s="774"/>
      <c r="C53" s="24" t="s">
        <v>172</v>
      </c>
      <c r="D53" s="444">
        <f t="shared" si="67"/>
        <v>0</v>
      </c>
      <c r="E53" s="445">
        <f t="shared" si="46"/>
        <v>0</v>
      </c>
      <c r="F53" s="272">
        <f t="shared" si="68"/>
        <v>0</v>
      </c>
      <c r="G53" s="545"/>
      <c r="H53" s="546"/>
      <c r="I53" s="273">
        <f t="shared" si="47"/>
        <v>0</v>
      </c>
      <c r="J53" s="545"/>
      <c r="K53" s="546"/>
      <c r="L53" s="273">
        <f t="shared" si="48"/>
        <v>0</v>
      </c>
      <c r="M53" s="545"/>
      <c r="N53" s="546"/>
      <c r="O53" s="273">
        <f t="shared" si="49"/>
        <v>0</v>
      </c>
      <c r="P53" s="545"/>
      <c r="Q53" s="546"/>
      <c r="R53" s="273">
        <f t="shared" si="50"/>
        <v>0</v>
      </c>
      <c r="S53" s="545"/>
      <c r="T53" s="546"/>
      <c r="U53" s="273">
        <f t="shared" si="51"/>
        <v>0</v>
      </c>
      <c r="V53" s="545">
        <v>0</v>
      </c>
      <c r="W53" s="546">
        <v>0</v>
      </c>
      <c r="X53" s="273">
        <f t="shared" si="52"/>
        <v>0</v>
      </c>
      <c r="Y53" s="545"/>
      <c r="Z53" s="546"/>
      <c r="AA53" s="273">
        <f t="shared" si="53"/>
        <v>0</v>
      </c>
      <c r="AB53" s="545"/>
      <c r="AC53" s="546"/>
      <c r="AD53" s="273">
        <f t="shared" si="54"/>
        <v>0</v>
      </c>
      <c r="AE53" s="545"/>
      <c r="AF53" s="546"/>
      <c r="AG53" s="273">
        <f t="shared" si="55"/>
        <v>0</v>
      </c>
      <c r="AH53" s="545"/>
      <c r="AI53" s="546"/>
      <c r="AJ53" s="273">
        <f t="shared" si="56"/>
        <v>0</v>
      </c>
      <c r="AK53" s="545">
        <v>0</v>
      </c>
      <c r="AL53" s="546">
        <v>0</v>
      </c>
      <c r="AM53" s="273">
        <f t="shared" si="57"/>
        <v>0</v>
      </c>
      <c r="AN53" s="545"/>
      <c r="AO53" s="546"/>
      <c r="AP53" s="273">
        <f t="shared" si="58"/>
        <v>0</v>
      </c>
      <c r="AQ53" s="545"/>
      <c r="AR53" s="546"/>
      <c r="AS53" s="273">
        <f t="shared" si="59"/>
        <v>0</v>
      </c>
      <c r="AT53" s="545"/>
      <c r="AU53" s="546"/>
      <c r="AV53" s="273">
        <f t="shared" si="60"/>
        <v>0</v>
      </c>
      <c r="AW53" s="545"/>
      <c r="AX53" s="546"/>
      <c r="AY53" s="273">
        <f t="shared" si="61"/>
        <v>0</v>
      </c>
      <c r="AZ53" s="545">
        <v>0</v>
      </c>
      <c r="BA53" s="546">
        <v>0</v>
      </c>
      <c r="BB53" s="273">
        <f t="shared" si="62"/>
        <v>0</v>
      </c>
      <c r="BC53" s="545"/>
      <c r="BD53" s="546"/>
      <c r="BE53" s="273">
        <f t="shared" si="63"/>
        <v>0</v>
      </c>
      <c r="BF53" s="545"/>
      <c r="BG53" s="546"/>
      <c r="BH53" s="273">
        <f t="shared" si="64"/>
        <v>0</v>
      </c>
      <c r="BI53" s="545"/>
      <c r="BJ53" s="546"/>
      <c r="BK53" s="273">
        <f t="shared" si="65"/>
        <v>0</v>
      </c>
      <c r="BL53" s="545"/>
      <c r="BM53" s="546"/>
      <c r="BN53" s="273">
        <f t="shared" si="66"/>
        <v>0</v>
      </c>
      <c r="BO53" s="545">
        <v>0</v>
      </c>
      <c r="BP53" s="546">
        <v>0</v>
      </c>
      <c r="BQ53" s="273">
        <f t="shared" si="44"/>
        <v>0</v>
      </c>
    </row>
    <row r="54" spans="1:70" ht="15.75" thickBot="1">
      <c r="A54" s="771"/>
      <c r="B54" s="775"/>
      <c r="C54" s="261" t="s">
        <v>173</v>
      </c>
      <c r="D54" s="446">
        <f t="shared" si="67"/>
        <v>0</v>
      </c>
      <c r="E54" s="447">
        <f t="shared" si="46"/>
        <v>0</v>
      </c>
      <c r="F54" s="276">
        <f t="shared" si="68"/>
        <v>0</v>
      </c>
      <c r="G54" s="547"/>
      <c r="H54" s="548"/>
      <c r="I54" s="277">
        <f>H54-G54</f>
        <v>0</v>
      </c>
      <c r="J54" s="547"/>
      <c r="K54" s="548"/>
      <c r="L54" s="277">
        <f>K54-J54</f>
        <v>0</v>
      </c>
      <c r="M54" s="547"/>
      <c r="N54" s="548"/>
      <c r="O54" s="277">
        <f>N54-M54</f>
        <v>0</v>
      </c>
      <c r="P54" s="547"/>
      <c r="Q54" s="548"/>
      <c r="R54" s="277">
        <f>Q54-P54</f>
        <v>0</v>
      </c>
      <c r="S54" s="547"/>
      <c r="T54" s="548"/>
      <c r="U54" s="277">
        <f>T54-S54</f>
        <v>0</v>
      </c>
      <c r="V54" s="547">
        <v>0</v>
      </c>
      <c r="W54" s="548">
        <v>0</v>
      </c>
      <c r="X54" s="277">
        <f>W54-V54</f>
        <v>0</v>
      </c>
      <c r="Y54" s="547"/>
      <c r="Z54" s="548"/>
      <c r="AA54" s="277">
        <f>Z54-Y54</f>
        <v>0</v>
      </c>
      <c r="AB54" s="547"/>
      <c r="AC54" s="548"/>
      <c r="AD54" s="277">
        <f>AC54-AB54</f>
        <v>0</v>
      </c>
      <c r="AE54" s="547"/>
      <c r="AF54" s="548"/>
      <c r="AG54" s="277">
        <f>AF54-AE54</f>
        <v>0</v>
      </c>
      <c r="AH54" s="547"/>
      <c r="AI54" s="548"/>
      <c r="AJ54" s="277">
        <f>AI54-AH54</f>
        <v>0</v>
      </c>
      <c r="AK54" s="547">
        <v>0</v>
      </c>
      <c r="AL54" s="548">
        <v>0</v>
      </c>
      <c r="AM54" s="277">
        <f>AL54-AK54</f>
        <v>0</v>
      </c>
      <c r="AN54" s="547"/>
      <c r="AO54" s="548"/>
      <c r="AP54" s="277">
        <f>AO54-AN54</f>
        <v>0</v>
      </c>
      <c r="AQ54" s="547"/>
      <c r="AR54" s="548"/>
      <c r="AS54" s="277">
        <f>AR54-AQ54</f>
        <v>0</v>
      </c>
      <c r="AT54" s="547"/>
      <c r="AU54" s="548"/>
      <c r="AV54" s="277">
        <f>AU54-AT54</f>
        <v>0</v>
      </c>
      <c r="AW54" s="547"/>
      <c r="AX54" s="548"/>
      <c r="AY54" s="277">
        <f>AX54-AW54</f>
        <v>0</v>
      </c>
      <c r="AZ54" s="547">
        <v>0</v>
      </c>
      <c r="BA54" s="548">
        <v>0</v>
      </c>
      <c r="BB54" s="277">
        <f>BA54-AZ54</f>
        <v>0</v>
      </c>
      <c r="BC54" s="547"/>
      <c r="BD54" s="548"/>
      <c r="BE54" s="277">
        <f>BD54-BC54</f>
        <v>0</v>
      </c>
      <c r="BF54" s="547"/>
      <c r="BG54" s="548"/>
      <c r="BH54" s="277">
        <f>BG54-BF54</f>
        <v>0</v>
      </c>
      <c r="BI54" s="547"/>
      <c r="BJ54" s="548"/>
      <c r="BK54" s="277">
        <f>BJ54-BI54</f>
        <v>0</v>
      </c>
      <c r="BL54" s="547"/>
      <c r="BM54" s="548"/>
      <c r="BN54" s="277">
        <f>BM54-BL54</f>
        <v>0</v>
      </c>
      <c r="BO54" s="547">
        <v>0</v>
      </c>
      <c r="BP54" s="548">
        <v>0</v>
      </c>
      <c r="BQ54" s="277">
        <f>BP54-BO54</f>
        <v>0</v>
      </c>
    </row>
    <row r="55" spans="1:70" s="279" customFormat="1" ht="14.25" customHeight="1">
      <c r="A55" s="770" t="s">
        <v>116</v>
      </c>
      <c r="B55" s="774" t="s">
        <v>213</v>
      </c>
      <c r="C55" s="24" t="s">
        <v>164</v>
      </c>
      <c r="D55" s="250">
        <f t="shared" si="67"/>
        <v>0</v>
      </c>
      <c r="E55" s="251">
        <f t="shared" si="46"/>
        <v>0</v>
      </c>
      <c r="F55" s="252">
        <f t="shared" ref="F55:F64" si="69">SUM(I55,L55,O55,R55,U55,X55,AA55,AD55,AG55,AJ55,AM55,AP55,AS55,AV55,AY55,BB55,BB55,BE55,BH55,BK55,BN55,BQ55)</f>
        <v>0</v>
      </c>
      <c r="G55" s="537"/>
      <c r="H55" s="538"/>
      <c r="I55" s="255">
        <f t="shared" ref="I55:I64" si="70">H55-G55</f>
        <v>0</v>
      </c>
      <c r="J55" s="537"/>
      <c r="K55" s="538"/>
      <c r="L55" s="255">
        <f t="shared" ref="L55:L64" si="71">K55-J55</f>
        <v>0</v>
      </c>
      <c r="M55" s="537"/>
      <c r="N55" s="538"/>
      <c r="O55" s="255">
        <f t="shared" ref="O55:O64" si="72">N55-M55</f>
        <v>0</v>
      </c>
      <c r="P55" s="537"/>
      <c r="Q55" s="538"/>
      <c r="R55" s="255">
        <f t="shared" ref="R55:R64" si="73">Q55-P55</f>
        <v>0</v>
      </c>
      <c r="S55" s="537"/>
      <c r="T55" s="538"/>
      <c r="U55" s="255">
        <f t="shared" ref="U55:U64" si="74">T55-S55</f>
        <v>0</v>
      </c>
      <c r="V55" s="537"/>
      <c r="W55" s="538"/>
      <c r="X55" s="255">
        <f t="shared" ref="X55:X64" si="75">W55-V55</f>
        <v>0</v>
      </c>
      <c r="Y55" s="537"/>
      <c r="Z55" s="538"/>
      <c r="AA55" s="255">
        <f t="shared" ref="AA55:AA64" si="76">Z55-Y55</f>
        <v>0</v>
      </c>
      <c r="AB55" s="537"/>
      <c r="AC55" s="538"/>
      <c r="AD55" s="255">
        <f t="shared" ref="AD55:AD64" si="77">AC55-AB55</f>
        <v>0</v>
      </c>
      <c r="AE55" s="537"/>
      <c r="AF55" s="538"/>
      <c r="AG55" s="255">
        <f t="shared" ref="AG55:AG64" si="78">AF55-AE55</f>
        <v>0</v>
      </c>
      <c r="AH55" s="537"/>
      <c r="AI55" s="538"/>
      <c r="AJ55" s="255">
        <f t="shared" ref="AJ55:AJ64" si="79">AI55-AH55</f>
        <v>0</v>
      </c>
      <c r="AK55" s="537"/>
      <c r="AL55" s="538"/>
      <c r="AM55" s="255">
        <f t="shared" ref="AM55:AM64" si="80">AL55-AK55</f>
        <v>0</v>
      </c>
      <c r="AN55" s="537"/>
      <c r="AO55" s="538"/>
      <c r="AP55" s="255">
        <f t="shared" ref="AP55:AP64" si="81">AO55-AN55</f>
        <v>0</v>
      </c>
      <c r="AQ55" s="537"/>
      <c r="AR55" s="538"/>
      <c r="AS55" s="255">
        <f t="shared" ref="AS55:AS64" si="82">AR55-AQ55</f>
        <v>0</v>
      </c>
      <c r="AT55" s="537"/>
      <c r="AU55" s="538"/>
      <c r="AV55" s="255">
        <f t="shared" ref="AV55:AV64" si="83">AU55-AT55</f>
        <v>0</v>
      </c>
      <c r="AW55" s="537"/>
      <c r="AX55" s="538"/>
      <c r="AY55" s="255">
        <f t="shared" ref="AY55:AY64" si="84">AX55-AW55</f>
        <v>0</v>
      </c>
      <c r="AZ55" s="537"/>
      <c r="BA55" s="538"/>
      <c r="BB55" s="255">
        <f t="shared" ref="BB55:BB64" si="85">BA55-AZ55</f>
        <v>0</v>
      </c>
      <c r="BC55" s="537"/>
      <c r="BD55" s="538"/>
      <c r="BE55" s="255">
        <f t="shared" ref="BE55:BE64" si="86">BD55-BC55</f>
        <v>0</v>
      </c>
      <c r="BF55" s="537"/>
      <c r="BG55" s="538"/>
      <c r="BH55" s="255">
        <f t="shared" ref="BH55:BH64" si="87">BG55-BF55</f>
        <v>0</v>
      </c>
      <c r="BI55" s="537"/>
      <c r="BJ55" s="538"/>
      <c r="BK55" s="255">
        <f t="shared" ref="BK55:BK64" si="88">BJ55-BI55</f>
        <v>0</v>
      </c>
      <c r="BL55" s="537"/>
      <c r="BM55" s="538"/>
      <c r="BN55" s="255">
        <f t="shared" ref="BN55:BN64" si="89">BM55-BL55</f>
        <v>0</v>
      </c>
      <c r="BO55" s="537"/>
      <c r="BP55" s="538"/>
      <c r="BQ55" s="255">
        <f t="shared" ref="BQ55:BQ64" si="90">BP55-BO55</f>
        <v>0</v>
      </c>
      <c r="BR55" s="278"/>
    </row>
    <row r="56" spans="1:70">
      <c r="A56" s="770"/>
      <c r="B56" s="774"/>
      <c r="C56" s="24" t="s">
        <v>165</v>
      </c>
      <c r="D56" s="257">
        <f t="shared" si="67"/>
        <v>0</v>
      </c>
      <c r="E56" s="258">
        <f t="shared" si="46"/>
        <v>0</v>
      </c>
      <c r="F56" s="259">
        <f t="shared" si="69"/>
        <v>0</v>
      </c>
      <c r="G56" s="539"/>
      <c r="H56" s="540"/>
      <c r="I56" s="260">
        <f t="shared" si="70"/>
        <v>0</v>
      </c>
      <c r="J56" s="539"/>
      <c r="K56" s="540"/>
      <c r="L56" s="260">
        <f t="shared" si="71"/>
        <v>0</v>
      </c>
      <c r="M56" s="539"/>
      <c r="N56" s="540"/>
      <c r="O56" s="260">
        <f t="shared" si="72"/>
        <v>0</v>
      </c>
      <c r="P56" s="539"/>
      <c r="Q56" s="540"/>
      <c r="R56" s="260">
        <f t="shared" si="73"/>
        <v>0</v>
      </c>
      <c r="S56" s="539"/>
      <c r="T56" s="540"/>
      <c r="U56" s="260">
        <f t="shared" si="74"/>
        <v>0</v>
      </c>
      <c r="V56" s="539"/>
      <c r="W56" s="540"/>
      <c r="X56" s="260">
        <f t="shared" si="75"/>
        <v>0</v>
      </c>
      <c r="Y56" s="539"/>
      <c r="Z56" s="540"/>
      <c r="AA56" s="260">
        <f t="shared" si="76"/>
        <v>0</v>
      </c>
      <c r="AB56" s="539"/>
      <c r="AC56" s="540"/>
      <c r="AD56" s="260">
        <f t="shared" si="77"/>
        <v>0</v>
      </c>
      <c r="AE56" s="539"/>
      <c r="AF56" s="540"/>
      <c r="AG56" s="260">
        <f t="shared" si="78"/>
        <v>0</v>
      </c>
      <c r="AH56" s="539"/>
      <c r="AI56" s="540"/>
      <c r="AJ56" s="260">
        <f t="shared" si="79"/>
        <v>0</v>
      </c>
      <c r="AK56" s="539"/>
      <c r="AL56" s="540"/>
      <c r="AM56" s="260">
        <f t="shared" si="80"/>
        <v>0</v>
      </c>
      <c r="AN56" s="539"/>
      <c r="AO56" s="540"/>
      <c r="AP56" s="260">
        <f t="shared" si="81"/>
        <v>0</v>
      </c>
      <c r="AQ56" s="539"/>
      <c r="AR56" s="540"/>
      <c r="AS56" s="260">
        <f t="shared" si="82"/>
        <v>0</v>
      </c>
      <c r="AT56" s="539"/>
      <c r="AU56" s="540"/>
      <c r="AV56" s="260">
        <f t="shared" si="83"/>
        <v>0</v>
      </c>
      <c r="AW56" s="539"/>
      <c r="AX56" s="540"/>
      <c r="AY56" s="260">
        <f t="shared" si="84"/>
        <v>0</v>
      </c>
      <c r="AZ56" s="539"/>
      <c r="BA56" s="540"/>
      <c r="BB56" s="260">
        <f t="shared" si="85"/>
        <v>0</v>
      </c>
      <c r="BC56" s="539"/>
      <c r="BD56" s="540"/>
      <c r="BE56" s="260">
        <f t="shared" si="86"/>
        <v>0</v>
      </c>
      <c r="BF56" s="539"/>
      <c r="BG56" s="540"/>
      <c r="BH56" s="260">
        <f t="shared" si="87"/>
        <v>0</v>
      </c>
      <c r="BI56" s="539"/>
      <c r="BJ56" s="540"/>
      <c r="BK56" s="260">
        <f t="shared" si="88"/>
        <v>0</v>
      </c>
      <c r="BL56" s="539"/>
      <c r="BM56" s="540"/>
      <c r="BN56" s="260">
        <f t="shared" si="89"/>
        <v>0</v>
      </c>
      <c r="BO56" s="539"/>
      <c r="BP56" s="540"/>
      <c r="BQ56" s="260">
        <f t="shared" si="90"/>
        <v>0</v>
      </c>
    </row>
    <row r="57" spans="1:70">
      <c r="A57" s="770"/>
      <c r="B57" s="774"/>
      <c r="C57" s="24" t="s">
        <v>166</v>
      </c>
      <c r="D57" s="257">
        <f t="shared" si="67"/>
        <v>0</v>
      </c>
      <c r="E57" s="258">
        <f t="shared" si="46"/>
        <v>0</v>
      </c>
      <c r="F57" s="259">
        <f t="shared" si="69"/>
        <v>0</v>
      </c>
      <c r="G57" s="539"/>
      <c r="H57" s="540"/>
      <c r="I57" s="260">
        <f t="shared" si="70"/>
        <v>0</v>
      </c>
      <c r="J57" s="539"/>
      <c r="K57" s="540"/>
      <c r="L57" s="260">
        <f t="shared" si="71"/>
        <v>0</v>
      </c>
      <c r="M57" s="539"/>
      <c r="N57" s="540"/>
      <c r="O57" s="260">
        <f t="shared" si="72"/>
        <v>0</v>
      </c>
      <c r="P57" s="539"/>
      <c r="Q57" s="540"/>
      <c r="R57" s="260">
        <f t="shared" si="73"/>
        <v>0</v>
      </c>
      <c r="S57" s="539"/>
      <c r="T57" s="540"/>
      <c r="U57" s="260">
        <f t="shared" si="74"/>
        <v>0</v>
      </c>
      <c r="V57" s="539"/>
      <c r="W57" s="540"/>
      <c r="X57" s="260">
        <f t="shared" si="75"/>
        <v>0</v>
      </c>
      <c r="Y57" s="539"/>
      <c r="Z57" s="540"/>
      <c r="AA57" s="260">
        <f t="shared" si="76"/>
        <v>0</v>
      </c>
      <c r="AB57" s="539"/>
      <c r="AC57" s="540"/>
      <c r="AD57" s="260">
        <f t="shared" si="77"/>
        <v>0</v>
      </c>
      <c r="AE57" s="539"/>
      <c r="AF57" s="540"/>
      <c r="AG57" s="260">
        <f t="shared" si="78"/>
        <v>0</v>
      </c>
      <c r="AH57" s="539"/>
      <c r="AI57" s="540"/>
      <c r="AJ57" s="260">
        <f t="shared" si="79"/>
        <v>0</v>
      </c>
      <c r="AK57" s="539"/>
      <c r="AL57" s="540"/>
      <c r="AM57" s="260">
        <f t="shared" si="80"/>
        <v>0</v>
      </c>
      <c r="AN57" s="539"/>
      <c r="AO57" s="540"/>
      <c r="AP57" s="260">
        <f t="shared" si="81"/>
        <v>0</v>
      </c>
      <c r="AQ57" s="539"/>
      <c r="AR57" s="540"/>
      <c r="AS57" s="260">
        <f t="shared" si="82"/>
        <v>0</v>
      </c>
      <c r="AT57" s="539"/>
      <c r="AU57" s="540"/>
      <c r="AV57" s="260">
        <f t="shared" si="83"/>
        <v>0</v>
      </c>
      <c r="AW57" s="539"/>
      <c r="AX57" s="540"/>
      <c r="AY57" s="260">
        <f t="shared" si="84"/>
        <v>0</v>
      </c>
      <c r="AZ57" s="539"/>
      <c r="BA57" s="540"/>
      <c r="BB57" s="260">
        <f t="shared" si="85"/>
        <v>0</v>
      </c>
      <c r="BC57" s="539"/>
      <c r="BD57" s="540"/>
      <c r="BE57" s="260">
        <f t="shared" si="86"/>
        <v>0</v>
      </c>
      <c r="BF57" s="539"/>
      <c r="BG57" s="540"/>
      <c r="BH57" s="260">
        <f t="shared" si="87"/>
        <v>0</v>
      </c>
      <c r="BI57" s="539"/>
      <c r="BJ57" s="540"/>
      <c r="BK57" s="260">
        <f t="shared" si="88"/>
        <v>0</v>
      </c>
      <c r="BL57" s="539"/>
      <c r="BM57" s="540"/>
      <c r="BN57" s="260">
        <f t="shared" si="89"/>
        <v>0</v>
      </c>
      <c r="BO57" s="539"/>
      <c r="BP57" s="540"/>
      <c r="BQ57" s="260">
        <f t="shared" si="90"/>
        <v>0</v>
      </c>
    </row>
    <row r="58" spans="1:70">
      <c r="A58" s="770"/>
      <c r="B58" s="774"/>
      <c r="C58" s="24" t="s">
        <v>167</v>
      </c>
      <c r="D58" s="257">
        <f t="shared" si="67"/>
        <v>0</v>
      </c>
      <c r="E58" s="258">
        <f t="shared" si="46"/>
        <v>0</v>
      </c>
      <c r="F58" s="259">
        <f t="shared" si="69"/>
        <v>0</v>
      </c>
      <c r="G58" s="539"/>
      <c r="H58" s="540"/>
      <c r="I58" s="260">
        <f t="shared" si="70"/>
        <v>0</v>
      </c>
      <c r="J58" s="539"/>
      <c r="K58" s="540"/>
      <c r="L58" s="260">
        <f t="shared" si="71"/>
        <v>0</v>
      </c>
      <c r="M58" s="539"/>
      <c r="N58" s="540"/>
      <c r="O58" s="260">
        <f t="shared" si="72"/>
        <v>0</v>
      </c>
      <c r="P58" s="539"/>
      <c r="Q58" s="540"/>
      <c r="R58" s="260">
        <f t="shared" si="73"/>
        <v>0</v>
      </c>
      <c r="S58" s="539"/>
      <c r="T58" s="540"/>
      <c r="U58" s="260">
        <f t="shared" si="74"/>
        <v>0</v>
      </c>
      <c r="V58" s="539"/>
      <c r="W58" s="540"/>
      <c r="X58" s="260">
        <f t="shared" si="75"/>
        <v>0</v>
      </c>
      <c r="Y58" s="539"/>
      <c r="Z58" s="540"/>
      <c r="AA58" s="260">
        <f t="shared" si="76"/>
        <v>0</v>
      </c>
      <c r="AB58" s="539"/>
      <c r="AC58" s="540"/>
      <c r="AD58" s="260">
        <f t="shared" si="77"/>
        <v>0</v>
      </c>
      <c r="AE58" s="539"/>
      <c r="AF58" s="540"/>
      <c r="AG58" s="260">
        <f t="shared" si="78"/>
        <v>0</v>
      </c>
      <c r="AH58" s="539"/>
      <c r="AI58" s="540"/>
      <c r="AJ58" s="260">
        <f t="shared" si="79"/>
        <v>0</v>
      </c>
      <c r="AK58" s="539"/>
      <c r="AL58" s="540"/>
      <c r="AM58" s="260">
        <f t="shared" si="80"/>
        <v>0</v>
      </c>
      <c r="AN58" s="539"/>
      <c r="AO58" s="540"/>
      <c r="AP58" s="260">
        <f t="shared" si="81"/>
        <v>0</v>
      </c>
      <c r="AQ58" s="539"/>
      <c r="AR58" s="540"/>
      <c r="AS58" s="260">
        <f t="shared" si="82"/>
        <v>0</v>
      </c>
      <c r="AT58" s="539"/>
      <c r="AU58" s="540"/>
      <c r="AV58" s="260">
        <f t="shared" si="83"/>
        <v>0</v>
      </c>
      <c r="AW58" s="539"/>
      <c r="AX58" s="540"/>
      <c r="AY58" s="260">
        <f t="shared" si="84"/>
        <v>0</v>
      </c>
      <c r="AZ58" s="539"/>
      <c r="BA58" s="540"/>
      <c r="BB58" s="260">
        <f t="shared" si="85"/>
        <v>0</v>
      </c>
      <c r="BC58" s="539"/>
      <c r="BD58" s="540"/>
      <c r="BE58" s="260">
        <f t="shared" si="86"/>
        <v>0</v>
      </c>
      <c r="BF58" s="539"/>
      <c r="BG58" s="540"/>
      <c r="BH58" s="260">
        <f t="shared" si="87"/>
        <v>0</v>
      </c>
      <c r="BI58" s="539"/>
      <c r="BJ58" s="540"/>
      <c r="BK58" s="260">
        <f t="shared" si="88"/>
        <v>0</v>
      </c>
      <c r="BL58" s="539"/>
      <c r="BM58" s="540"/>
      <c r="BN58" s="260">
        <f t="shared" si="89"/>
        <v>0</v>
      </c>
      <c r="BO58" s="539"/>
      <c r="BP58" s="540"/>
      <c r="BQ58" s="260">
        <f t="shared" si="90"/>
        <v>0</v>
      </c>
    </row>
    <row r="59" spans="1:70">
      <c r="A59" s="770"/>
      <c r="B59" s="774"/>
      <c r="C59" s="24" t="s">
        <v>168</v>
      </c>
      <c r="D59" s="257">
        <f t="shared" si="67"/>
        <v>0</v>
      </c>
      <c r="E59" s="258">
        <f t="shared" si="46"/>
        <v>0</v>
      </c>
      <c r="F59" s="259">
        <f t="shared" si="69"/>
        <v>0</v>
      </c>
      <c r="G59" s="539"/>
      <c r="H59" s="540"/>
      <c r="I59" s="260">
        <f t="shared" si="70"/>
        <v>0</v>
      </c>
      <c r="J59" s="539"/>
      <c r="K59" s="540"/>
      <c r="L59" s="260">
        <f t="shared" si="71"/>
        <v>0</v>
      </c>
      <c r="M59" s="539"/>
      <c r="N59" s="540"/>
      <c r="O59" s="260">
        <f t="shared" si="72"/>
        <v>0</v>
      </c>
      <c r="P59" s="539"/>
      <c r="Q59" s="540"/>
      <c r="R59" s="260">
        <f t="shared" si="73"/>
        <v>0</v>
      </c>
      <c r="S59" s="539"/>
      <c r="T59" s="540"/>
      <c r="U59" s="260">
        <f t="shared" si="74"/>
        <v>0</v>
      </c>
      <c r="V59" s="539"/>
      <c r="W59" s="540"/>
      <c r="X59" s="260">
        <f t="shared" si="75"/>
        <v>0</v>
      </c>
      <c r="Y59" s="539"/>
      <c r="Z59" s="540"/>
      <c r="AA59" s="260">
        <f t="shared" si="76"/>
        <v>0</v>
      </c>
      <c r="AB59" s="539"/>
      <c r="AC59" s="540"/>
      <c r="AD59" s="260">
        <f t="shared" si="77"/>
        <v>0</v>
      </c>
      <c r="AE59" s="539"/>
      <c r="AF59" s="540"/>
      <c r="AG59" s="260">
        <f t="shared" si="78"/>
        <v>0</v>
      </c>
      <c r="AH59" s="539"/>
      <c r="AI59" s="540"/>
      <c r="AJ59" s="260">
        <f t="shared" si="79"/>
        <v>0</v>
      </c>
      <c r="AK59" s="539"/>
      <c r="AL59" s="540"/>
      <c r="AM59" s="260">
        <f t="shared" si="80"/>
        <v>0</v>
      </c>
      <c r="AN59" s="539"/>
      <c r="AO59" s="540"/>
      <c r="AP59" s="260">
        <f t="shared" si="81"/>
        <v>0</v>
      </c>
      <c r="AQ59" s="539"/>
      <c r="AR59" s="540"/>
      <c r="AS59" s="260">
        <f t="shared" si="82"/>
        <v>0</v>
      </c>
      <c r="AT59" s="539"/>
      <c r="AU59" s="540"/>
      <c r="AV59" s="260">
        <f t="shared" si="83"/>
        <v>0</v>
      </c>
      <c r="AW59" s="539"/>
      <c r="AX59" s="540"/>
      <c r="AY59" s="260">
        <f t="shared" si="84"/>
        <v>0</v>
      </c>
      <c r="AZ59" s="539"/>
      <c r="BA59" s="540"/>
      <c r="BB59" s="260">
        <f t="shared" si="85"/>
        <v>0</v>
      </c>
      <c r="BC59" s="539"/>
      <c r="BD59" s="540"/>
      <c r="BE59" s="260">
        <f t="shared" si="86"/>
        <v>0</v>
      </c>
      <c r="BF59" s="539"/>
      <c r="BG59" s="540"/>
      <c r="BH59" s="260">
        <f t="shared" si="87"/>
        <v>0</v>
      </c>
      <c r="BI59" s="539"/>
      <c r="BJ59" s="540"/>
      <c r="BK59" s="260">
        <f t="shared" si="88"/>
        <v>0</v>
      </c>
      <c r="BL59" s="539"/>
      <c r="BM59" s="540"/>
      <c r="BN59" s="260">
        <f t="shared" si="89"/>
        <v>0</v>
      </c>
      <c r="BO59" s="539"/>
      <c r="BP59" s="540"/>
      <c r="BQ59" s="260">
        <f t="shared" si="90"/>
        <v>0</v>
      </c>
    </row>
    <row r="60" spans="1:70">
      <c r="A60" s="770"/>
      <c r="B60" s="774"/>
      <c r="C60" s="24" t="s">
        <v>169</v>
      </c>
      <c r="D60" s="257">
        <f t="shared" si="67"/>
        <v>0</v>
      </c>
      <c r="E60" s="258">
        <f t="shared" si="46"/>
        <v>0</v>
      </c>
      <c r="F60" s="259">
        <f t="shared" si="69"/>
        <v>0</v>
      </c>
      <c r="G60" s="539"/>
      <c r="H60" s="540"/>
      <c r="I60" s="260">
        <f t="shared" si="70"/>
        <v>0</v>
      </c>
      <c r="J60" s="539"/>
      <c r="K60" s="540"/>
      <c r="L60" s="260">
        <f t="shared" si="71"/>
        <v>0</v>
      </c>
      <c r="M60" s="539"/>
      <c r="N60" s="540"/>
      <c r="O60" s="260">
        <f t="shared" si="72"/>
        <v>0</v>
      </c>
      <c r="P60" s="539"/>
      <c r="Q60" s="540"/>
      <c r="R60" s="260">
        <f t="shared" si="73"/>
        <v>0</v>
      </c>
      <c r="S60" s="539"/>
      <c r="T60" s="540"/>
      <c r="U60" s="260">
        <f t="shared" si="74"/>
        <v>0</v>
      </c>
      <c r="V60" s="539"/>
      <c r="W60" s="540"/>
      <c r="X60" s="260">
        <f t="shared" si="75"/>
        <v>0</v>
      </c>
      <c r="Y60" s="539"/>
      <c r="Z60" s="540"/>
      <c r="AA60" s="260">
        <f t="shared" si="76"/>
        <v>0</v>
      </c>
      <c r="AB60" s="539"/>
      <c r="AC60" s="540"/>
      <c r="AD60" s="260">
        <f t="shared" si="77"/>
        <v>0</v>
      </c>
      <c r="AE60" s="539"/>
      <c r="AF60" s="540"/>
      <c r="AG60" s="260">
        <f t="shared" si="78"/>
        <v>0</v>
      </c>
      <c r="AH60" s="539"/>
      <c r="AI60" s="540"/>
      <c r="AJ60" s="260">
        <f t="shared" si="79"/>
        <v>0</v>
      </c>
      <c r="AK60" s="539"/>
      <c r="AL60" s="540"/>
      <c r="AM60" s="260">
        <f t="shared" si="80"/>
        <v>0</v>
      </c>
      <c r="AN60" s="539"/>
      <c r="AO60" s="540"/>
      <c r="AP60" s="260">
        <f t="shared" si="81"/>
        <v>0</v>
      </c>
      <c r="AQ60" s="539"/>
      <c r="AR60" s="540"/>
      <c r="AS60" s="260">
        <f t="shared" si="82"/>
        <v>0</v>
      </c>
      <c r="AT60" s="539"/>
      <c r="AU60" s="540"/>
      <c r="AV60" s="260">
        <f t="shared" si="83"/>
        <v>0</v>
      </c>
      <c r="AW60" s="539"/>
      <c r="AX60" s="540"/>
      <c r="AY60" s="260">
        <f t="shared" si="84"/>
        <v>0</v>
      </c>
      <c r="AZ60" s="539"/>
      <c r="BA60" s="540"/>
      <c r="BB60" s="260">
        <f t="shared" si="85"/>
        <v>0</v>
      </c>
      <c r="BC60" s="539"/>
      <c r="BD60" s="540"/>
      <c r="BE60" s="260">
        <f t="shared" si="86"/>
        <v>0</v>
      </c>
      <c r="BF60" s="539"/>
      <c r="BG60" s="540"/>
      <c r="BH60" s="260">
        <f t="shared" si="87"/>
        <v>0</v>
      </c>
      <c r="BI60" s="539"/>
      <c r="BJ60" s="540"/>
      <c r="BK60" s="260">
        <f t="shared" si="88"/>
        <v>0</v>
      </c>
      <c r="BL60" s="539"/>
      <c r="BM60" s="540"/>
      <c r="BN60" s="260">
        <f t="shared" si="89"/>
        <v>0</v>
      </c>
      <c r="BO60" s="539"/>
      <c r="BP60" s="540"/>
      <c r="BQ60" s="260">
        <f t="shared" si="90"/>
        <v>0</v>
      </c>
    </row>
    <row r="61" spans="1:70">
      <c r="A61" s="770"/>
      <c r="B61" s="774"/>
      <c r="C61" s="24" t="s">
        <v>170</v>
      </c>
      <c r="D61" s="257">
        <f t="shared" si="67"/>
        <v>0</v>
      </c>
      <c r="E61" s="258">
        <f t="shared" si="46"/>
        <v>0</v>
      </c>
      <c r="F61" s="259">
        <f t="shared" si="69"/>
        <v>0</v>
      </c>
      <c r="G61" s="539"/>
      <c r="H61" s="540"/>
      <c r="I61" s="260">
        <f t="shared" si="70"/>
        <v>0</v>
      </c>
      <c r="J61" s="539"/>
      <c r="K61" s="540"/>
      <c r="L61" s="260">
        <f t="shared" si="71"/>
        <v>0</v>
      </c>
      <c r="M61" s="539"/>
      <c r="N61" s="540"/>
      <c r="O61" s="260">
        <f t="shared" si="72"/>
        <v>0</v>
      </c>
      <c r="P61" s="539"/>
      <c r="Q61" s="540"/>
      <c r="R61" s="260">
        <f t="shared" si="73"/>
        <v>0</v>
      </c>
      <c r="S61" s="539"/>
      <c r="T61" s="540"/>
      <c r="U61" s="260">
        <f t="shared" si="74"/>
        <v>0</v>
      </c>
      <c r="V61" s="539"/>
      <c r="W61" s="540"/>
      <c r="X61" s="260">
        <f t="shared" si="75"/>
        <v>0</v>
      </c>
      <c r="Y61" s="539"/>
      <c r="Z61" s="540"/>
      <c r="AA61" s="260">
        <f t="shared" si="76"/>
        <v>0</v>
      </c>
      <c r="AB61" s="539"/>
      <c r="AC61" s="540"/>
      <c r="AD61" s="260">
        <f t="shared" si="77"/>
        <v>0</v>
      </c>
      <c r="AE61" s="539"/>
      <c r="AF61" s="540"/>
      <c r="AG61" s="260">
        <f t="shared" si="78"/>
        <v>0</v>
      </c>
      <c r="AH61" s="539"/>
      <c r="AI61" s="540"/>
      <c r="AJ61" s="260">
        <f t="shared" si="79"/>
        <v>0</v>
      </c>
      <c r="AK61" s="539"/>
      <c r="AL61" s="540"/>
      <c r="AM61" s="260">
        <f t="shared" si="80"/>
        <v>0</v>
      </c>
      <c r="AN61" s="539"/>
      <c r="AO61" s="540"/>
      <c r="AP61" s="260">
        <f t="shared" si="81"/>
        <v>0</v>
      </c>
      <c r="AQ61" s="539"/>
      <c r="AR61" s="540"/>
      <c r="AS61" s="260">
        <f t="shared" si="82"/>
        <v>0</v>
      </c>
      <c r="AT61" s="539"/>
      <c r="AU61" s="540"/>
      <c r="AV61" s="260">
        <f t="shared" si="83"/>
        <v>0</v>
      </c>
      <c r="AW61" s="539"/>
      <c r="AX61" s="540"/>
      <c r="AY61" s="260">
        <f t="shared" si="84"/>
        <v>0</v>
      </c>
      <c r="AZ61" s="539"/>
      <c r="BA61" s="540"/>
      <c r="BB61" s="260">
        <f t="shared" si="85"/>
        <v>0</v>
      </c>
      <c r="BC61" s="539"/>
      <c r="BD61" s="540"/>
      <c r="BE61" s="260">
        <f t="shared" si="86"/>
        <v>0</v>
      </c>
      <c r="BF61" s="539"/>
      <c r="BG61" s="540"/>
      <c r="BH61" s="260">
        <f t="shared" si="87"/>
        <v>0</v>
      </c>
      <c r="BI61" s="539"/>
      <c r="BJ61" s="540"/>
      <c r="BK61" s="260">
        <f t="shared" si="88"/>
        <v>0</v>
      </c>
      <c r="BL61" s="539"/>
      <c r="BM61" s="540"/>
      <c r="BN61" s="260">
        <f t="shared" si="89"/>
        <v>0</v>
      </c>
      <c r="BO61" s="539"/>
      <c r="BP61" s="540"/>
      <c r="BQ61" s="260">
        <f t="shared" si="90"/>
        <v>0</v>
      </c>
    </row>
    <row r="62" spans="1:70">
      <c r="A62" s="770"/>
      <c r="B62" s="774"/>
      <c r="C62" s="24" t="s">
        <v>171</v>
      </c>
      <c r="D62" s="257">
        <f t="shared" ref="D62:D64" si="91">SUM(G62,J62,M62,P62,S62,V62,Y62,AB62,AE62,AH62,AK62,AN62,AQ62,AT62,AW62,AZ62,AZ62,BC62,BF62,BI62,BL62,BO62)</f>
        <v>0</v>
      </c>
      <c r="E62" s="258">
        <f t="shared" si="46"/>
        <v>0</v>
      </c>
      <c r="F62" s="259">
        <f t="shared" si="69"/>
        <v>0</v>
      </c>
      <c r="G62" s="539"/>
      <c r="H62" s="540"/>
      <c r="I62" s="260">
        <f t="shared" si="70"/>
        <v>0</v>
      </c>
      <c r="J62" s="539"/>
      <c r="K62" s="540"/>
      <c r="L62" s="260">
        <f t="shared" si="71"/>
        <v>0</v>
      </c>
      <c r="M62" s="539"/>
      <c r="N62" s="540"/>
      <c r="O62" s="260">
        <f t="shared" si="72"/>
        <v>0</v>
      </c>
      <c r="P62" s="539"/>
      <c r="Q62" s="540"/>
      <c r="R62" s="260">
        <f t="shared" si="73"/>
        <v>0</v>
      </c>
      <c r="S62" s="539"/>
      <c r="T62" s="540"/>
      <c r="U62" s="260">
        <f t="shared" si="74"/>
        <v>0</v>
      </c>
      <c r="V62" s="539"/>
      <c r="W62" s="540"/>
      <c r="X62" s="260">
        <f t="shared" si="75"/>
        <v>0</v>
      </c>
      <c r="Y62" s="539"/>
      <c r="Z62" s="540"/>
      <c r="AA62" s="260">
        <f t="shared" si="76"/>
        <v>0</v>
      </c>
      <c r="AB62" s="539"/>
      <c r="AC62" s="540"/>
      <c r="AD62" s="260">
        <f t="shared" si="77"/>
        <v>0</v>
      </c>
      <c r="AE62" s="539"/>
      <c r="AF62" s="540"/>
      <c r="AG62" s="260">
        <f t="shared" si="78"/>
        <v>0</v>
      </c>
      <c r="AH62" s="539"/>
      <c r="AI62" s="540"/>
      <c r="AJ62" s="260">
        <f t="shared" si="79"/>
        <v>0</v>
      </c>
      <c r="AK62" s="539"/>
      <c r="AL62" s="540"/>
      <c r="AM62" s="260">
        <f t="shared" si="80"/>
        <v>0</v>
      </c>
      <c r="AN62" s="539"/>
      <c r="AO62" s="540"/>
      <c r="AP62" s="260">
        <f t="shared" si="81"/>
        <v>0</v>
      </c>
      <c r="AQ62" s="539"/>
      <c r="AR62" s="540"/>
      <c r="AS62" s="260">
        <f t="shared" si="82"/>
        <v>0</v>
      </c>
      <c r="AT62" s="539"/>
      <c r="AU62" s="540"/>
      <c r="AV62" s="260">
        <f t="shared" si="83"/>
        <v>0</v>
      </c>
      <c r="AW62" s="539"/>
      <c r="AX62" s="540"/>
      <c r="AY62" s="260">
        <f t="shared" si="84"/>
        <v>0</v>
      </c>
      <c r="AZ62" s="539"/>
      <c r="BA62" s="540"/>
      <c r="BB62" s="260">
        <f t="shared" si="85"/>
        <v>0</v>
      </c>
      <c r="BC62" s="539"/>
      <c r="BD62" s="540"/>
      <c r="BE62" s="260">
        <f t="shared" si="86"/>
        <v>0</v>
      </c>
      <c r="BF62" s="539"/>
      <c r="BG62" s="540"/>
      <c r="BH62" s="260">
        <f t="shared" si="87"/>
        <v>0</v>
      </c>
      <c r="BI62" s="539"/>
      <c r="BJ62" s="540"/>
      <c r="BK62" s="260">
        <f t="shared" si="88"/>
        <v>0</v>
      </c>
      <c r="BL62" s="539"/>
      <c r="BM62" s="540"/>
      <c r="BN62" s="260">
        <f t="shared" si="89"/>
        <v>0</v>
      </c>
      <c r="BO62" s="539"/>
      <c r="BP62" s="540"/>
      <c r="BQ62" s="260">
        <f t="shared" si="90"/>
        <v>0</v>
      </c>
    </row>
    <row r="63" spans="1:70">
      <c r="A63" s="770"/>
      <c r="B63" s="774"/>
      <c r="C63" s="24" t="s">
        <v>172</v>
      </c>
      <c r="D63" s="257">
        <f t="shared" si="91"/>
        <v>0</v>
      </c>
      <c r="E63" s="258">
        <f t="shared" si="46"/>
        <v>0</v>
      </c>
      <c r="F63" s="259">
        <f t="shared" si="69"/>
        <v>0</v>
      </c>
      <c r="G63" s="539"/>
      <c r="H63" s="540"/>
      <c r="I63" s="260">
        <f t="shared" si="70"/>
        <v>0</v>
      </c>
      <c r="J63" s="539"/>
      <c r="K63" s="540"/>
      <c r="L63" s="260">
        <f t="shared" si="71"/>
        <v>0</v>
      </c>
      <c r="M63" s="539"/>
      <c r="N63" s="540"/>
      <c r="O63" s="260">
        <f t="shared" si="72"/>
        <v>0</v>
      </c>
      <c r="P63" s="539"/>
      <c r="Q63" s="540"/>
      <c r="R63" s="260">
        <f t="shared" si="73"/>
        <v>0</v>
      </c>
      <c r="S63" s="539"/>
      <c r="T63" s="540"/>
      <c r="U63" s="260">
        <f t="shared" si="74"/>
        <v>0</v>
      </c>
      <c r="V63" s="539"/>
      <c r="W63" s="540"/>
      <c r="X63" s="260">
        <f t="shared" si="75"/>
        <v>0</v>
      </c>
      <c r="Y63" s="539"/>
      <c r="Z63" s="540"/>
      <c r="AA63" s="260">
        <f t="shared" si="76"/>
        <v>0</v>
      </c>
      <c r="AB63" s="539"/>
      <c r="AC63" s="540"/>
      <c r="AD63" s="260">
        <f t="shared" si="77"/>
        <v>0</v>
      </c>
      <c r="AE63" s="539"/>
      <c r="AF63" s="540"/>
      <c r="AG63" s="260">
        <f t="shared" si="78"/>
        <v>0</v>
      </c>
      <c r="AH63" s="539"/>
      <c r="AI63" s="540"/>
      <c r="AJ63" s="260">
        <f t="shared" si="79"/>
        <v>0</v>
      </c>
      <c r="AK63" s="539"/>
      <c r="AL63" s="540"/>
      <c r="AM63" s="260">
        <f t="shared" si="80"/>
        <v>0</v>
      </c>
      <c r="AN63" s="539"/>
      <c r="AO63" s="540"/>
      <c r="AP63" s="260">
        <f t="shared" si="81"/>
        <v>0</v>
      </c>
      <c r="AQ63" s="539"/>
      <c r="AR63" s="540"/>
      <c r="AS63" s="260">
        <f t="shared" si="82"/>
        <v>0</v>
      </c>
      <c r="AT63" s="539"/>
      <c r="AU63" s="540"/>
      <c r="AV63" s="260">
        <f t="shared" si="83"/>
        <v>0</v>
      </c>
      <c r="AW63" s="539"/>
      <c r="AX63" s="540"/>
      <c r="AY63" s="260">
        <f t="shared" si="84"/>
        <v>0</v>
      </c>
      <c r="AZ63" s="539"/>
      <c r="BA63" s="540"/>
      <c r="BB63" s="260">
        <f t="shared" si="85"/>
        <v>0</v>
      </c>
      <c r="BC63" s="539"/>
      <c r="BD63" s="540"/>
      <c r="BE63" s="260">
        <f t="shared" si="86"/>
        <v>0</v>
      </c>
      <c r="BF63" s="539"/>
      <c r="BG63" s="540"/>
      <c r="BH63" s="260">
        <f t="shared" si="87"/>
        <v>0</v>
      </c>
      <c r="BI63" s="539"/>
      <c r="BJ63" s="540"/>
      <c r="BK63" s="260">
        <f t="shared" si="88"/>
        <v>0</v>
      </c>
      <c r="BL63" s="539"/>
      <c r="BM63" s="540"/>
      <c r="BN63" s="260">
        <f t="shared" si="89"/>
        <v>0</v>
      </c>
      <c r="BO63" s="539"/>
      <c r="BP63" s="540"/>
      <c r="BQ63" s="260">
        <f t="shared" si="90"/>
        <v>0</v>
      </c>
    </row>
    <row r="64" spans="1:70" s="281" customFormat="1" ht="15.75" thickBot="1">
      <c r="A64" s="771"/>
      <c r="B64" s="775"/>
      <c r="C64" s="261" t="s">
        <v>173</v>
      </c>
      <c r="D64" s="262">
        <f t="shared" si="91"/>
        <v>0</v>
      </c>
      <c r="E64" s="263">
        <f t="shared" si="46"/>
        <v>0</v>
      </c>
      <c r="F64" s="264">
        <f t="shared" si="69"/>
        <v>0</v>
      </c>
      <c r="G64" s="541"/>
      <c r="H64" s="542"/>
      <c r="I64" s="265">
        <f t="shared" si="70"/>
        <v>0</v>
      </c>
      <c r="J64" s="541"/>
      <c r="K64" s="542"/>
      <c r="L64" s="265">
        <f t="shared" si="71"/>
        <v>0</v>
      </c>
      <c r="M64" s="541"/>
      <c r="N64" s="542"/>
      <c r="O64" s="265">
        <f t="shared" si="72"/>
        <v>0</v>
      </c>
      <c r="P64" s="541"/>
      <c r="Q64" s="542"/>
      <c r="R64" s="265">
        <f t="shared" si="73"/>
        <v>0</v>
      </c>
      <c r="S64" s="541"/>
      <c r="T64" s="542"/>
      <c r="U64" s="265">
        <f t="shared" si="74"/>
        <v>0</v>
      </c>
      <c r="V64" s="541"/>
      <c r="W64" s="542"/>
      <c r="X64" s="265">
        <f t="shared" si="75"/>
        <v>0</v>
      </c>
      <c r="Y64" s="541"/>
      <c r="Z64" s="542"/>
      <c r="AA64" s="265">
        <f t="shared" si="76"/>
        <v>0</v>
      </c>
      <c r="AB64" s="541"/>
      <c r="AC64" s="542"/>
      <c r="AD64" s="265">
        <f t="shared" si="77"/>
        <v>0</v>
      </c>
      <c r="AE64" s="541"/>
      <c r="AF64" s="542"/>
      <c r="AG64" s="265">
        <f t="shared" si="78"/>
        <v>0</v>
      </c>
      <c r="AH64" s="541"/>
      <c r="AI64" s="542"/>
      <c r="AJ64" s="265">
        <f t="shared" si="79"/>
        <v>0</v>
      </c>
      <c r="AK64" s="541"/>
      <c r="AL64" s="542"/>
      <c r="AM64" s="265">
        <f t="shared" si="80"/>
        <v>0</v>
      </c>
      <c r="AN64" s="541"/>
      <c r="AO64" s="542"/>
      <c r="AP64" s="265">
        <f t="shared" si="81"/>
        <v>0</v>
      </c>
      <c r="AQ64" s="541"/>
      <c r="AR64" s="542"/>
      <c r="AS64" s="265">
        <f t="shared" si="82"/>
        <v>0</v>
      </c>
      <c r="AT64" s="541"/>
      <c r="AU64" s="542"/>
      <c r="AV64" s="265">
        <f t="shared" si="83"/>
        <v>0</v>
      </c>
      <c r="AW64" s="541"/>
      <c r="AX64" s="542"/>
      <c r="AY64" s="265">
        <f t="shared" si="84"/>
        <v>0</v>
      </c>
      <c r="AZ64" s="541"/>
      <c r="BA64" s="542"/>
      <c r="BB64" s="265">
        <f t="shared" si="85"/>
        <v>0</v>
      </c>
      <c r="BC64" s="541"/>
      <c r="BD64" s="542"/>
      <c r="BE64" s="265">
        <f t="shared" si="86"/>
        <v>0</v>
      </c>
      <c r="BF64" s="541"/>
      <c r="BG64" s="542"/>
      <c r="BH64" s="265">
        <f t="shared" si="87"/>
        <v>0</v>
      </c>
      <c r="BI64" s="541"/>
      <c r="BJ64" s="542"/>
      <c r="BK64" s="265">
        <f t="shared" si="88"/>
        <v>0</v>
      </c>
      <c r="BL64" s="541"/>
      <c r="BM64" s="542"/>
      <c r="BN64" s="265">
        <f t="shared" si="89"/>
        <v>0</v>
      </c>
      <c r="BO64" s="541"/>
      <c r="BP64" s="542"/>
      <c r="BQ64" s="265">
        <f t="shared" si="90"/>
        <v>0</v>
      </c>
      <c r="BR64" s="280"/>
    </row>
    <row r="65" spans="1:70" ht="15.75" thickBot="1">
      <c r="A65" s="282"/>
      <c r="B65" s="283"/>
      <c r="C65" s="284"/>
      <c r="D65" s="283"/>
      <c r="E65" s="283"/>
      <c r="F65" s="285" t="s">
        <v>97</v>
      </c>
      <c r="G65" s="286"/>
      <c r="H65" s="286"/>
      <c r="I65" s="287"/>
      <c r="J65" s="286"/>
      <c r="K65" s="286"/>
      <c r="L65" s="287"/>
      <c r="M65" s="286"/>
      <c r="N65" s="286"/>
      <c r="O65" s="287"/>
      <c r="P65" s="286"/>
      <c r="Q65" s="286"/>
      <c r="R65" s="287"/>
      <c r="S65" s="286"/>
      <c r="T65" s="286"/>
      <c r="U65" s="287"/>
      <c r="V65" s="286"/>
      <c r="W65" s="286"/>
      <c r="X65" s="287"/>
      <c r="Y65" s="286"/>
      <c r="Z65" s="286"/>
      <c r="AA65" s="287"/>
      <c r="AB65" s="286"/>
      <c r="AC65" s="286"/>
      <c r="AD65" s="287"/>
      <c r="AE65" s="286"/>
      <c r="AF65" s="286"/>
      <c r="AG65" s="287"/>
      <c r="AH65" s="286"/>
      <c r="AI65" s="286"/>
      <c r="AJ65" s="287"/>
      <c r="AK65" s="286"/>
      <c r="AL65" s="286"/>
      <c r="AM65" s="287"/>
      <c r="AN65" s="286"/>
      <c r="AO65" s="286"/>
      <c r="AP65" s="287"/>
      <c r="AQ65" s="286"/>
      <c r="AR65" s="286"/>
      <c r="AS65" s="287"/>
      <c r="AT65" s="286"/>
      <c r="AU65" s="286"/>
      <c r="AV65" s="287"/>
      <c r="AW65" s="286"/>
      <c r="AX65" s="286"/>
      <c r="AY65" s="287"/>
      <c r="AZ65" s="286"/>
      <c r="BA65" s="286"/>
      <c r="BB65" s="287"/>
      <c r="BC65" s="286"/>
      <c r="BD65" s="286"/>
      <c r="BE65" s="287"/>
      <c r="BF65" s="286"/>
      <c r="BG65" s="286"/>
      <c r="BH65" s="287"/>
      <c r="BI65" s="286"/>
      <c r="BJ65" s="286"/>
      <c r="BK65" s="287"/>
      <c r="BL65" s="286"/>
      <c r="BM65" s="286"/>
      <c r="BN65" s="287"/>
      <c r="BO65" s="286"/>
      <c r="BP65" s="286"/>
      <c r="BQ65" s="287"/>
    </row>
    <row r="66" spans="1:70">
      <c r="A66" s="780" t="s">
        <v>210</v>
      </c>
      <c r="B66" s="782" t="s">
        <v>211</v>
      </c>
      <c r="C66" s="288" t="s">
        <v>164</v>
      </c>
      <c r="D66" s="289">
        <f t="shared" ref="D66:D75" si="92">SUM(G66,J66,M66,P66,S66,V66,Y66,AB66,AE66,AH66,AK66,AN66,AQ66,AT66,AW66,AZ66,AZ66,BC66,BF66,BI66,BL66,BO66)</f>
        <v>0</v>
      </c>
      <c r="E66" s="290">
        <f t="shared" ref="E66:E75" si="93">SUM(H66,K66,N66,Q66,T66,W66,Z66,AC66,AF66,AI66,AL66,AO66,AR66,AU66,AX66,BA66,BA66,BD66,BG66,BJ66,BM66,BP66)</f>
        <v>0</v>
      </c>
      <c r="F66" s="291">
        <f t="shared" ref="F66:F75" si="94">SUM(I66,L66,O66,R66,U66,X66,AA66,AD66,AG66,AJ66,AM66,AP66,AS66,AV66,AY66,BB66,BB66,BE66,BH66,BK66,BN66,BQ66)</f>
        <v>0</v>
      </c>
      <c r="G66" s="292">
        <f t="shared" ref="G66:G75" si="95">G5</f>
        <v>0</v>
      </c>
      <c r="H66" s="293">
        <f t="shared" ref="H66:H75" si="96">H5*(1+$BR$66)</f>
        <v>0</v>
      </c>
      <c r="I66" s="294">
        <f>H66-G66</f>
        <v>0</v>
      </c>
      <c r="J66" s="292">
        <f t="shared" ref="J66:J75" si="97">J5</f>
        <v>0</v>
      </c>
      <c r="K66" s="293">
        <f t="shared" ref="K66:K75" si="98">K5*(1+$BR$66)</f>
        <v>0</v>
      </c>
      <c r="L66" s="294">
        <f>K66-J66</f>
        <v>0</v>
      </c>
      <c r="M66" s="292">
        <f t="shared" ref="M66:M75" si="99">M5</f>
        <v>0</v>
      </c>
      <c r="N66" s="293">
        <f t="shared" ref="N66:N75" si="100">N5*(1+$BR$66)</f>
        <v>0</v>
      </c>
      <c r="O66" s="294">
        <f>N66-M66</f>
        <v>0</v>
      </c>
      <c r="P66" s="292">
        <f t="shared" ref="P66:P75" si="101">P5</f>
        <v>0</v>
      </c>
      <c r="Q66" s="293">
        <f t="shared" ref="Q66:Q75" si="102">Q5*(1+$BR$66)</f>
        <v>0</v>
      </c>
      <c r="R66" s="294">
        <f t="shared" ref="R66:R75" si="103">Q66-P66</f>
        <v>0</v>
      </c>
      <c r="S66" s="292">
        <f t="shared" ref="S66:S75" si="104">S5</f>
        <v>0</v>
      </c>
      <c r="T66" s="293">
        <f t="shared" ref="T66:T75" si="105">T5*(1+$BR$66)</f>
        <v>0</v>
      </c>
      <c r="U66" s="294">
        <f t="shared" ref="U66:U75" si="106">T66-S66</f>
        <v>0</v>
      </c>
      <c r="V66" s="292">
        <f t="shared" ref="V66:V75" si="107">V5</f>
        <v>0</v>
      </c>
      <c r="W66" s="293">
        <f t="shared" ref="W66:W75" si="108">W5*(1+$BR$66)</f>
        <v>0</v>
      </c>
      <c r="X66" s="294">
        <f t="shared" ref="X66:X75" si="109">W66-V66</f>
        <v>0</v>
      </c>
      <c r="Y66" s="292">
        <f t="shared" ref="Y66:Y75" si="110">Y5</f>
        <v>0</v>
      </c>
      <c r="Z66" s="293">
        <f t="shared" ref="Z66:Z75" si="111">Z5*(1+$BR$66)</f>
        <v>0</v>
      </c>
      <c r="AA66" s="294">
        <f>Z66-Y66</f>
        <v>0</v>
      </c>
      <c r="AB66" s="292">
        <f t="shared" ref="AB66:AB75" si="112">AB5</f>
        <v>0</v>
      </c>
      <c r="AC66" s="293">
        <f t="shared" ref="AC66:AC75" si="113">AC5*(1+$BR$66)</f>
        <v>0</v>
      </c>
      <c r="AD66" s="294">
        <f>AC66-AB66</f>
        <v>0</v>
      </c>
      <c r="AE66" s="292">
        <f t="shared" ref="AE66:AE75" si="114">AE5</f>
        <v>0</v>
      </c>
      <c r="AF66" s="293">
        <f t="shared" ref="AF66:AF75" si="115">AF5*(1+$BR$66)</f>
        <v>0</v>
      </c>
      <c r="AG66" s="294">
        <f t="shared" ref="AG66:AG75" si="116">AF66-AE66</f>
        <v>0</v>
      </c>
      <c r="AH66" s="292">
        <f t="shared" ref="AH66:AH75" si="117">AH5</f>
        <v>0</v>
      </c>
      <c r="AI66" s="293">
        <f t="shared" ref="AI66:AI75" si="118">AI5*(1+$BR$66)</f>
        <v>0</v>
      </c>
      <c r="AJ66" s="294">
        <f t="shared" ref="AJ66:AJ75" si="119">AI66-AH66</f>
        <v>0</v>
      </c>
      <c r="AK66" s="292">
        <f t="shared" ref="AK66:AK75" si="120">AK5</f>
        <v>0</v>
      </c>
      <c r="AL66" s="293">
        <f t="shared" ref="AL66:AL75" si="121">AL5*(1+$BR$66)</f>
        <v>0</v>
      </c>
      <c r="AM66" s="294">
        <f t="shared" ref="AM66:AM75" si="122">AL66-AK66</f>
        <v>0</v>
      </c>
      <c r="AN66" s="292">
        <f t="shared" ref="AN66:AN75" si="123">AN5</f>
        <v>0</v>
      </c>
      <c r="AO66" s="293">
        <f t="shared" ref="AO66:AO75" si="124">AO5*(1+$BR$66)</f>
        <v>0</v>
      </c>
      <c r="AP66" s="294">
        <f>AO66-AN66</f>
        <v>0</v>
      </c>
      <c r="AQ66" s="292">
        <f t="shared" ref="AQ66:AQ75" si="125">AQ5</f>
        <v>0</v>
      </c>
      <c r="AR66" s="293">
        <f t="shared" ref="AR66:AR75" si="126">AR5*(1+$BR$66)</f>
        <v>0</v>
      </c>
      <c r="AS66" s="294">
        <f>AR66-AQ66</f>
        <v>0</v>
      </c>
      <c r="AT66" s="292">
        <f t="shared" ref="AT66:AT75" si="127">AT5</f>
        <v>0</v>
      </c>
      <c r="AU66" s="293">
        <f t="shared" ref="AU66:AU75" si="128">AU5*(1+$BR$66)</f>
        <v>0</v>
      </c>
      <c r="AV66" s="294">
        <f t="shared" ref="AV66:AV75" si="129">AU66-AT66</f>
        <v>0</v>
      </c>
      <c r="AW66" s="292">
        <f t="shared" ref="AW66:AW75" si="130">AW5</f>
        <v>0</v>
      </c>
      <c r="AX66" s="293">
        <f t="shared" ref="AX66:AX75" si="131">AX5*(1+$BR$66)</f>
        <v>0</v>
      </c>
      <c r="AY66" s="294">
        <f t="shared" ref="AY66:AY75" si="132">AX66-AW66</f>
        <v>0</v>
      </c>
      <c r="AZ66" s="292">
        <f t="shared" ref="AZ66:AZ75" si="133">AZ5</f>
        <v>0</v>
      </c>
      <c r="BA66" s="293">
        <f t="shared" ref="BA66:BA75" si="134">BA5*(1+$BR$66)</f>
        <v>0</v>
      </c>
      <c r="BB66" s="294">
        <f t="shared" ref="BB66:BB75" si="135">BA66-AZ66</f>
        <v>0</v>
      </c>
      <c r="BC66" s="292">
        <f t="shared" ref="BC66:BC75" si="136">BC5</f>
        <v>0</v>
      </c>
      <c r="BD66" s="293">
        <f t="shared" ref="BD66:BD75" si="137">BD5*(1+$BR$66)</f>
        <v>0</v>
      </c>
      <c r="BE66" s="294">
        <f>BD66-BC66</f>
        <v>0</v>
      </c>
      <c r="BF66" s="292">
        <f t="shared" ref="BF66:BF75" si="138">BF5</f>
        <v>0</v>
      </c>
      <c r="BG66" s="293">
        <f t="shared" ref="BG66:BG75" si="139">BG5*(1+$BR$66)</f>
        <v>0</v>
      </c>
      <c r="BH66" s="294">
        <f>BG66-BF66</f>
        <v>0</v>
      </c>
      <c r="BI66" s="292">
        <f t="shared" ref="BI66:BI75" si="140">BI5</f>
        <v>0</v>
      </c>
      <c r="BJ66" s="293">
        <f t="shared" ref="BJ66:BJ75" si="141">BJ5*(1+$BR$66)</f>
        <v>0</v>
      </c>
      <c r="BK66" s="294">
        <f t="shared" ref="BK66:BK75" si="142">BJ66-BI66</f>
        <v>0</v>
      </c>
      <c r="BL66" s="292">
        <f t="shared" ref="BL66:BL75" si="143">BL5</f>
        <v>0</v>
      </c>
      <c r="BM66" s="293">
        <f t="shared" ref="BM66:BM75" si="144">BM5*(1+$BR$66)</f>
        <v>0</v>
      </c>
      <c r="BN66" s="294">
        <f t="shared" ref="BN66:BN75" si="145">BM66-BL66</f>
        <v>0</v>
      </c>
      <c r="BO66" s="292">
        <f t="shared" ref="BO66:BO75" si="146">BO5</f>
        <v>0</v>
      </c>
      <c r="BP66" s="293">
        <f t="shared" ref="BP66:BP75" si="147">BP5*(1+$BR$66)</f>
        <v>0</v>
      </c>
      <c r="BQ66" s="294">
        <f t="shared" ref="BQ66:BQ75" si="148">BP66-BO66</f>
        <v>0</v>
      </c>
      <c r="BR66" s="295">
        <f>'Analyza citlivosti - AgendovéIS'!K7</f>
        <v>0</v>
      </c>
    </row>
    <row r="67" spans="1:70">
      <c r="A67" s="780"/>
      <c r="B67" s="782"/>
      <c r="C67" s="288" t="s">
        <v>165</v>
      </c>
      <c r="D67" s="289">
        <f t="shared" si="92"/>
        <v>0</v>
      </c>
      <c r="E67" s="290">
        <f t="shared" si="93"/>
        <v>0</v>
      </c>
      <c r="F67" s="291">
        <f t="shared" si="94"/>
        <v>0</v>
      </c>
      <c r="G67" s="296">
        <f t="shared" si="95"/>
        <v>0</v>
      </c>
      <c r="H67" s="297">
        <f t="shared" si="96"/>
        <v>0</v>
      </c>
      <c r="I67" s="260">
        <f t="shared" ref="I67:I75" si="149">H67-G67</f>
        <v>0</v>
      </c>
      <c r="J67" s="296">
        <f t="shared" si="97"/>
        <v>0</v>
      </c>
      <c r="K67" s="297">
        <f t="shared" si="98"/>
        <v>0</v>
      </c>
      <c r="L67" s="260">
        <f t="shared" ref="L67:L75" si="150">K67-J67</f>
        <v>0</v>
      </c>
      <c r="M67" s="296">
        <f t="shared" si="99"/>
        <v>0</v>
      </c>
      <c r="N67" s="297">
        <f t="shared" si="100"/>
        <v>0</v>
      </c>
      <c r="O67" s="260">
        <f t="shared" ref="O67:O75" si="151">N67-M67</f>
        <v>0</v>
      </c>
      <c r="P67" s="296">
        <f t="shared" si="101"/>
        <v>0</v>
      </c>
      <c r="Q67" s="297">
        <f t="shared" si="102"/>
        <v>0</v>
      </c>
      <c r="R67" s="260">
        <f t="shared" si="103"/>
        <v>0</v>
      </c>
      <c r="S67" s="296">
        <f t="shared" si="104"/>
        <v>0</v>
      </c>
      <c r="T67" s="297">
        <f t="shared" si="105"/>
        <v>0</v>
      </c>
      <c r="U67" s="260">
        <f t="shared" si="106"/>
        <v>0</v>
      </c>
      <c r="V67" s="296">
        <f t="shared" si="107"/>
        <v>0</v>
      </c>
      <c r="W67" s="297">
        <f t="shared" si="108"/>
        <v>0</v>
      </c>
      <c r="X67" s="260">
        <f t="shared" si="109"/>
        <v>0</v>
      </c>
      <c r="Y67" s="296">
        <f t="shared" si="110"/>
        <v>0</v>
      </c>
      <c r="Z67" s="297">
        <f t="shared" si="111"/>
        <v>0</v>
      </c>
      <c r="AA67" s="260">
        <f t="shared" ref="AA67:AA75" si="152">Z67-Y67</f>
        <v>0</v>
      </c>
      <c r="AB67" s="296">
        <f t="shared" si="112"/>
        <v>0</v>
      </c>
      <c r="AC67" s="297">
        <f t="shared" si="113"/>
        <v>0</v>
      </c>
      <c r="AD67" s="260">
        <f t="shared" ref="AD67:AD75" si="153">AC67-AB67</f>
        <v>0</v>
      </c>
      <c r="AE67" s="296">
        <f t="shared" si="114"/>
        <v>0</v>
      </c>
      <c r="AF67" s="297">
        <f t="shared" si="115"/>
        <v>0</v>
      </c>
      <c r="AG67" s="260">
        <f t="shared" si="116"/>
        <v>0</v>
      </c>
      <c r="AH67" s="296">
        <f t="shared" si="117"/>
        <v>0</v>
      </c>
      <c r="AI67" s="297">
        <f t="shared" si="118"/>
        <v>0</v>
      </c>
      <c r="AJ67" s="260">
        <f t="shared" si="119"/>
        <v>0</v>
      </c>
      <c r="AK67" s="296">
        <f t="shared" si="120"/>
        <v>0</v>
      </c>
      <c r="AL67" s="297">
        <f t="shared" si="121"/>
        <v>0</v>
      </c>
      <c r="AM67" s="260">
        <f t="shared" si="122"/>
        <v>0</v>
      </c>
      <c r="AN67" s="296">
        <f t="shared" si="123"/>
        <v>0</v>
      </c>
      <c r="AO67" s="297">
        <f t="shared" si="124"/>
        <v>0</v>
      </c>
      <c r="AP67" s="260">
        <f t="shared" ref="AP67:AP75" si="154">AO67-AN67</f>
        <v>0</v>
      </c>
      <c r="AQ67" s="296">
        <f t="shared" si="125"/>
        <v>0</v>
      </c>
      <c r="AR67" s="297">
        <f t="shared" si="126"/>
        <v>0</v>
      </c>
      <c r="AS67" s="260">
        <f t="shared" ref="AS67:AS75" si="155">AR67-AQ67</f>
        <v>0</v>
      </c>
      <c r="AT67" s="296">
        <f t="shared" si="127"/>
        <v>0</v>
      </c>
      <c r="AU67" s="297">
        <f t="shared" si="128"/>
        <v>0</v>
      </c>
      <c r="AV67" s="260">
        <f t="shared" si="129"/>
        <v>0</v>
      </c>
      <c r="AW67" s="296">
        <f t="shared" si="130"/>
        <v>0</v>
      </c>
      <c r="AX67" s="297">
        <f t="shared" si="131"/>
        <v>0</v>
      </c>
      <c r="AY67" s="260">
        <f t="shared" si="132"/>
        <v>0</v>
      </c>
      <c r="AZ67" s="296">
        <f t="shared" si="133"/>
        <v>0</v>
      </c>
      <c r="BA67" s="297">
        <f t="shared" si="134"/>
        <v>0</v>
      </c>
      <c r="BB67" s="260">
        <f t="shared" si="135"/>
        <v>0</v>
      </c>
      <c r="BC67" s="296">
        <f t="shared" si="136"/>
        <v>0</v>
      </c>
      <c r="BD67" s="297">
        <f t="shared" si="137"/>
        <v>0</v>
      </c>
      <c r="BE67" s="260">
        <f t="shared" ref="BE67:BE75" si="156">BD67-BC67</f>
        <v>0</v>
      </c>
      <c r="BF67" s="296">
        <f t="shared" si="138"/>
        <v>0</v>
      </c>
      <c r="BG67" s="297">
        <f t="shared" si="139"/>
        <v>0</v>
      </c>
      <c r="BH67" s="260">
        <f t="shared" ref="BH67:BH75" si="157">BG67-BF67</f>
        <v>0</v>
      </c>
      <c r="BI67" s="296">
        <f t="shared" si="140"/>
        <v>0</v>
      </c>
      <c r="BJ67" s="297">
        <f t="shared" si="141"/>
        <v>0</v>
      </c>
      <c r="BK67" s="260">
        <f t="shared" si="142"/>
        <v>0</v>
      </c>
      <c r="BL67" s="296">
        <f t="shared" si="143"/>
        <v>0</v>
      </c>
      <c r="BM67" s="297">
        <f t="shared" si="144"/>
        <v>0</v>
      </c>
      <c r="BN67" s="260">
        <f t="shared" si="145"/>
        <v>0</v>
      </c>
      <c r="BO67" s="296">
        <f t="shared" si="146"/>
        <v>0</v>
      </c>
      <c r="BP67" s="297">
        <f t="shared" si="147"/>
        <v>0</v>
      </c>
      <c r="BQ67" s="260">
        <f t="shared" si="148"/>
        <v>0</v>
      </c>
    </row>
    <row r="68" spans="1:70">
      <c r="A68" s="780"/>
      <c r="B68" s="782"/>
      <c r="C68" s="288" t="s">
        <v>166</v>
      </c>
      <c r="D68" s="289">
        <f t="shared" si="92"/>
        <v>0</v>
      </c>
      <c r="E68" s="290">
        <f t="shared" si="93"/>
        <v>0</v>
      </c>
      <c r="F68" s="291">
        <f t="shared" si="94"/>
        <v>0</v>
      </c>
      <c r="G68" s="296">
        <f t="shared" si="95"/>
        <v>0</v>
      </c>
      <c r="H68" s="297">
        <f t="shared" si="96"/>
        <v>0</v>
      </c>
      <c r="I68" s="260">
        <f t="shared" si="149"/>
        <v>0</v>
      </c>
      <c r="J68" s="296">
        <f t="shared" si="97"/>
        <v>0</v>
      </c>
      <c r="K68" s="297">
        <f t="shared" si="98"/>
        <v>0</v>
      </c>
      <c r="L68" s="260">
        <f t="shared" si="150"/>
        <v>0</v>
      </c>
      <c r="M68" s="296">
        <f t="shared" si="99"/>
        <v>0</v>
      </c>
      <c r="N68" s="297">
        <f t="shared" si="100"/>
        <v>0</v>
      </c>
      <c r="O68" s="260">
        <f t="shared" si="151"/>
        <v>0</v>
      </c>
      <c r="P68" s="296">
        <f t="shared" si="101"/>
        <v>0</v>
      </c>
      <c r="Q68" s="297">
        <f t="shared" si="102"/>
        <v>0</v>
      </c>
      <c r="R68" s="260">
        <f t="shared" si="103"/>
        <v>0</v>
      </c>
      <c r="S68" s="296">
        <f t="shared" si="104"/>
        <v>0</v>
      </c>
      <c r="T68" s="297">
        <f t="shared" si="105"/>
        <v>0</v>
      </c>
      <c r="U68" s="260">
        <f t="shared" si="106"/>
        <v>0</v>
      </c>
      <c r="V68" s="296">
        <f t="shared" si="107"/>
        <v>0</v>
      </c>
      <c r="W68" s="297">
        <f t="shared" si="108"/>
        <v>0</v>
      </c>
      <c r="X68" s="260">
        <f t="shared" si="109"/>
        <v>0</v>
      </c>
      <c r="Y68" s="296">
        <f t="shared" si="110"/>
        <v>0</v>
      </c>
      <c r="Z68" s="297">
        <f t="shared" si="111"/>
        <v>0</v>
      </c>
      <c r="AA68" s="260">
        <f t="shared" si="152"/>
        <v>0</v>
      </c>
      <c r="AB68" s="296">
        <f t="shared" si="112"/>
        <v>0</v>
      </c>
      <c r="AC68" s="297">
        <f t="shared" si="113"/>
        <v>0</v>
      </c>
      <c r="AD68" s="260">
        <f t="shared" si="153"/>
        <v>0</v>
      </c>
      <c r="AE68" s="296">
        <f t="shared" si="114"/>
        <v>0</v>
      </c>
      <c r="AF68" s="297">
        <f t="shared" si="115"/>
        <v>0</v>
      </c>
      <c r="AG68" s="260">
        <f t="shared" si="116"/>
        <v>0</v>
      </c>
      <c r="AH68" s="296">
        <f t="shared" si="117"/>
        <v>0</v>
      </c>
      <c r="AI68" s="297">
        <f t="shared" si="118"/>
        <v>0</v>
      </c>
      <c r="AJ68" s="260">
        <f t="shared" si="119"/>
        <v>0</v>
      </c>
      <c r="AK68" s="296">
        <f t="shared" si="120"/>
        <v>0</v>
      </c>
      <c r="AL68" s="297">
        <f t="shared" si="121"/>
        <v>0</v>
      </c>
      <c r="AM68" s="260">
        <f t="shared" si="122"/>
        <v>0</v>
      </c>
      <c r="AN68" s="296">
        <f t="shared" si="123"/>
        <v>0</v>
      </c>
      <c r="AO68" s="297">
        <f t="shared" si="124"/>
        <v>0</v>
      </c>
      <c r="AP68" s="260">
        <f t="shared" si="154"/>
        <v>0</v>
      </c>
      <c r="AQ68" s="296">
        <f t="shared" si="125"/>
        <v>0</v>
      </c>
      <c r="AR68" s="297">
        <f t="shared" si="126"/>
        <v>0</v>
      </c>
      <c r="AS68" s="260">
        <f t="shared" si="155"/>
        <v>0</v>
      </c>
      <c r="AT68" s="296">
        <f t="shared" si="127"/>
        <v>0</v>
      </c>
      <c r="AU68" s="297">
        <f t="shared" si="128"/>
        <v>0</v>
      </c>
      <c r="AV68" s="260">
        <f t="shared" si="129"/>
        <v>0</v>
      </c>
      <c r="AW68" s="296">
        <f t="shared" si="130"/>
        <v>0</v>
      </c>
      <c r="AX68" s="297">
        <f t="shared" si="131"/>
        <v>0</v>
      </c>
      <c r="AY68" s="260">
        <f t="shared" si="132"/>
        <v>0</v>
      </c>
      <c r="AZ68" s="296">
        <f t="shared" si="133"/>
        <v>0</v>
      </c>
      <c r="BA68" s="297">
        <f t="shared" si="134"/>
        <v>0</v>
      </c>
      <c r="BB68" s="260">
        <f t="shared" si="135"/>
        <v>0</v>
      </c>
      <c r="BC68" s="296">
        <f t="shared" si="136"/>
        <v>0</v>
      </c>
      <c r="BD68" s="297">
        <f t="shared" si="137"/>
        <v>0</v>
      </c>
      <c r="BE68" s="260">
        <f t="shared" si="156"/>
        <v>0</v>
      </c>
      <c r="BF68" s="296">
        <f t="shared" si="138"/>
        <v>0</v>
      </c>
      <c r="BG68" s="297">
        <f t="shared" si="139"/>
        <v>0</v>
      </c>
      <c r="BH68" s="260">
        <f t="shared" si="157"/>
        <v>0</v>
      </c>
      <c r="BI68" s="296">
        <f t="shared" si="140"/>
        <v>0</v>
      </c>
      <c r="BJ68" s="297">
        <f t="shared" si="141"/>
        <v>0</v>
      </c>
      <c r="BK68" s="260">
        <f t="shared" si="142"/>
        <v>0</v>
      </c>
      <c r="BL68" s="296">
        <f t="shared" si="143"/>
        <v>0</v>
      </c>
      <c r="BM68" s="297">
        <f t="shared" si="144"/>
        <v>0</v>
      </c>
      <c r="BN68" s="260">
        <f t="shared" si="145"/>
        <v>0</v>
      </c>
      <c r="BO68" s="296">
        <f t="shared" si="146"/>
        <v>0</v>
      </c>
      <c r="BP68" s="297">
        <f t="shared" si="147"/>
        <v>0</v>
      </c>
      <c r="BQ68" s="260">
        <f t="shared" si="148"/>
        <v>0</v>
      </c>
    </row>
    <row r="69" spans="1:70">
      <c r="A69" s="780"/>
      <c r="B69" s="782"/>
      <c r="C69" s="288" t="s">
        <v>167</v>
      </c>
      <c r="D69" s="289">
        <f t="shared" si="92"/>
        <v>0</v>
      </c>
      <c r="E69" s="290">
        <f t="shared" si="93"/>
        <v>0</v>
      </c>
      <c r="F69" s="291">
        <f t="shared" si="94"/>
        <v>0</v>
      </c>
      <c r="G69" s="296">
        <f t="shared" si="95"/>
        <v>0</v>
      </c>
      <c r="H69" s="297">
        <f t="shared" si="96"/>
        <v>0</v>
      </c>
      <c r="I69" s="260">
        <f t="shared" si="149"/>
        <v>0</v>
      </c>
      <c r="J69" s="296">
        <f t="shared" si="97"/>
        <v>0</v>
      </c>
      <c r="K69" s="297">
        <f t="shared" si="98"/>
        <v>0</v>
      </c>
      <c r="L69" s="260">
        <f t="shared" si="150"/>
        <v>0</v>
      </c>
      <c r="M69" s="296">
        <f t="shared" si="99"/>
        <v>0</v>
      </c>
      <c r="N69" s="297">
        <f t="shared" si="100"/>
        <v>0</v>
      </c>
      <c r="O69" s="260">
        <f t="shared" si="151"/>
        <v>0</v>
      </c>
      <c r="P69" s="296">
        <f t="shared" si="101"/>
        <v>0</v>
      </c>
      <c r="Q69" s="297">
        <f t="shared" si="102"/>
        <v>0</v>
      </c>
      <c r="R69" s="260">
        <f t="shared" si="103"/>
        <v>0</v>
      </c>
      <c r="S69" s="296">
        <f t="shared" si="104"/>
        <v>0</v>
      </c>
      <c r="T69" s="297">
        <f t="shared" si="105"/>
        <v>0</v>
      </c>
      <c r="U69" s="260">
        <f t="shared" si="106"/>
        <v>0</v>
      </c>
      <c r="V69" s="296">
        <f t="shared" si="107"/>
        <v>0</v>
      </c>
      <c r="W69" s="297">
        <f t="shared" si="108"/>
        <v>0</v>
      </c>
      <c r="X69" s="260">
        <f t="shared" si="109"/>
        <v>0</v>
      </c>
      <c r="Y69" s="296">
        <f t="shared" si="110"/>
        <v>0</v>
      </c>
      <c r="Z69" s="297">
        <f t="shared" si="111"/>
        <v>0</v>
      </c>
      <c r="AA69" s="260">
        <f t="shared" si="152"/>
        <v>0</v>
      </c>
      <c r="AB69" s="296">
        <f t="shared" si="112"/>
        <v>0</v>
      </c>
      <c r="AC69" s="297">
        <f t="shared" si="113"/>
        <v>0</v>
      </c>
      <c r="AD69" s="260">
        <f t="shared" si="153"/>
        <v>0</v>
      </c>
      <c r="AE69" s="296">
        <f t="shared" si="114"/>
        <v>0</v>
      </c>
      <c r="AF69" s="297">
        <f t="shared" si="115"/>
        <v>0</v>
      </c>
      <c r="AG69" s="260">
        <f t="shared" si="116"/>
        <v>0</v>
      </c>
      <c r="AH69" s="296">
        <f t="shared" si="117"/>
        <v>0</v>
      </c>
      <c r="AI69" s="297">
        <f t="shared" si="118"/>
        <v>0</v>
      </c>
      <c r="AJ69" s="260">
        <f t="shared" si="119"/>
        <v>0</v>
      </c>
      <c r="AK69" s="296">
        <f t="shared" si="120"/>
        <v>0</v>
      </c>
      <c r="AL69" s="297">
        <f t="shared" si="121"/>
        <v>0</v>
      </c>
      <c r="AM69" s="260">
        <f t="shared" si="122"/>
        <v>0</v>
      </c>
      <c r="AN69" s="296">
        <f t="shared" si="123"/>
        <v>0</v>
      </c>
      <c r="AO69" s="297">
        <f t="shared" si="124"/>
        <v>0</v>
      </c>
      <c r="AP69" s="260">
        <f t="shared" si="154"/>
        <v>0</v>
      </c>
      <c r="AQ69" s="296">
        <f t="shared" si="125"/>
        <v>0</v>
      </c>
      <c r="AR69" s="297">
        <f t="shared" si="126"/>
        <v>0</v>
      </c>
      <c r="AS69" s="260">
        <f t="shared" si="155"/>
        <v>0</v>
      </c>
      <c r="AT69" s="296">
        <f t="shared" si="127"/>
        <v>0</v>
      </c>
      <c r="AU69" s="297">
        <f t="shared" si="128"/>
        <v>0</v>
      </c>
      <c r="AV69" s="260">
        <f t="shared" si="129"/>
        <v>0</v>
      </c>
      <c r="AW69" s="296">
        <f t="shared" si="130"/>
        <v>0</v>
      </c>
      <c r="AX69" s="297">
        <f t="shared" si="131"/>
        <v>0</v>
      </c>
      <c r="AY69" s="260">
        <f t="shared" si="132"/>
        <v>0</v>
      </c>
      <c r="AZ69" s="296">
        <f t="shared" si="133"/>
        <v>0</v>
      </c>
      <c r="BA69" s="297">
        <f t="shared" si="134"/>
        <v>0</v>
      </c>
      <c r="BB69" s="260">
        <f t="shared" si="135"/>
        <v>0</v>
      </c>
      <c r="BC69" s="296">
        <f t="shared" si="136"/>
        <v>0</v>
      </c>
      <c r="BD69" s="297">
        <f t="shared" si="137"/>
        <v>0</v>
      </c>
      <c r="BE69" s="260">
        <f t="shared" si="156"/>
        <v>0</v>
      </c>
      <c r="BF69" s="296">
        <f t="shared" si="138"/>
        <v>0</v>
      </c>
      <c r="BG69" s="297">
        <f t="shared" si="139"/>
        <v>0</v>
      </c>
      <c r="BH69" s="260">
        <f t="shared" si="157"/>
        <v>0</v>
      </c>
      <c r="BI69" s="296">
        <f t="shared" si="140"/>
        <v>0</v>
      </c>
      <c r="BJ69" s="297">
        <f t="shared" si="141"/>
        <v>0</v>
      </c>
      <c r="BK69" s="260">
        <f t="shared" si="142"/>
        <v>0</v>
      </c>
      <c r="BL69" s="296">
        <f t="shared" si="143"/>
        <v>0</v>
      </c>
      <c r="BM69" s="297">
        <f t="shared" si="144"/>
        <v>0</v>
      </c>
      <c r="BN69" s="260">
        <f t="shared" si="145"/>
        <v>0</v>
      </c>
      <c r="BO69" s="296">
        <f t="shared" si="146"/>
        <v>0</v>
      </c>
      <c r="BP69" s="297">
        <f t="shared" si="147"/>
        <v>0</v>
      </c>
      <c r="BQ69" s="260">
        <f t="shared" si="148"/>
        <v>0</v>
      </c>
    </row>
    <row r="70" spans="1:70">
      <c r="A70" s="780"/>
      <c r="B70" s="782"/>
      <c r="C70" s="288" t="s">
        <v>168</v>
      </c>
      <c r="D70" s="289">
        <f t="shared" si="92"/>
        <v>0</v>
      </c>
      <c r="E70" s="290">
        <f t="shared" si="93"/>
        <v>0</v>
      </c>
      <c r="F70" s="291">
        <f t="shared" si="94"/>
        <v>0</v>
      </c>
      <c r="G70" s="296">
        <f t="shared" si="95"/>
        <v>0</v>
      </c>
      <c r="H70" s="297">
        <f t="shared" si="96"/>
        <v>0</v>
      </c>
      <c r="I70" s="260">
        <f t="shared" si="149"/>
        <v>0</v>
      </c>
      <c r="J70" s="296">
        <f t="shared" si="97"/>
        <v>0</v>
      </c>
      <c r="K70" s="297">
        <f t="shared" si="98"/>
        <v>0</v>
      </c>
      <c r="L70" s="260">
        <f t="shared" si="150"/>
        <v>0</v>
      </c>
      <c r="M70" s="296">
        <f t="shared" si="99"/>
        <v>0</v>
      </c>
      <c r="N70" s="297">
        <f t="shared" si="100"/>
        <v>0</v>
      </c>
      <c r="O70" s="260">
        <f t="shared" si="151"/>
        <v>0</v>
      </c>
      <c r="P70" s="296">
        <f t="shared" si="101"/>
        <v>0</v>
      </c>
      <c r="Q70" s="297">
        <f t="shared" si="102"/>
        <v>0</v>
      </c>
      <c r="R70" s="260">
        <f t="shared" si="103"/>
        <v>0</v>
      </c>
      <c r="S70" s="296">
        <f t="shared" si="104"/>
        <v>0</v>
      </c>
      <c r="T70" s="297">
        <f t="shared" si="105"/>
        <v>0</v>
      </c>
      <c r="U70" s="260">
        <f t="shared" si="106"/>
        <v>0</v>
      </c>
      <c r="V70" s="296">
        <f t="shared" si="107"/>
        <v>0</v>
      </c>
      <c r="W70" s="297">
        <f t="shared" si="108"/>
        <v>0</v>
      </c>
      <c r="X70" s="260">
        <f t="shared" si="109"/>
        <v>0</v>
      </c>
      <c r="Y70" s="296">
        <f t="shared" si="110"/>
        <v>0</v>
      </c>
      <c r="Z70" s="297">
        <f t="shared" si="111"/>
        <v>0</v>
      </c>
      <c r="AA70" s="260">
        <f t="shared" si="152"/>
        <v>0</v>
      </c>
      <c r="AB70" s="296">
        <f t="shared" si="112"/>
        <v>0</v>
      </c>
      <c r="AC70" s="297">
        <f t="shared" si="113"/>
        <v>0</v>
      </c>
      <c r="AD70" s="260">
        <f t="shared" si="153"/>
        <v>0</v>
      </c>
      <c r="AE70" s="296">
        <f t="shared" si="114"/>
        <v>0</v>
      </c>
      <c r="AF70" s="297">
        <f t="shared" si="115"/>
        <v>0</v>
      </c>
      <c r="AG70" s="260">
        <f t="shared" si="116"/>
        <v>0</v>
      </c>
      <c r="AH70" s="296">
        <f t="shared" si="117"/>
        <v>0</v>
      </c>
      <c r="AI70" s="297">
        <f t="shared" si="118"/>
        <v>0</v>
      </c>
      <c r="AJ70" s="260">
        <f t="shared" si="119"/>
        <v>0</v>
      </c>
      <c r="AK70" s="296">
        <f t="shared" si="120"/>
        <v>0</v>
      </c>
      <c r="AL70" s="297">
        <f t="shared" si="121"/>
        <v>0</v>
      </c>
      <c r="AM70" s="260">
        <f t="shared" si="122"/>
        <v>0</v>
      </c>
      <c r="AN70" s="296">
        <f t="shared" si="123"/>
        <v>0</v>
      </c>
      <c r="AO70" s="297">
        <f t="shared" si="124"/>
        <v>0</v>
      </c>
      <c r="AP70" s="260">
        <f t="shared" si="154"/>
        <v>0</v>
      </c>
      <c r="AQ70" s="296">
        <f t="shared" si="125"/>
        <v>0</v>
      </c>
      <c r="AR70" s="297">
        <f t="shared" si="126"/>
        <v>0</v>
      </c>
      <c r="AS70" s="260">
        <f t="shared" si="155"/>
        <v>0</v>
      </c>
      <c r="AT70" s="296">
        <f t="shared" si="127"/>
        <v>0</v>
      </c>
      <c r="AU70" s="297">
        <f t="shared" si="128"/>
        <v>0</v>
      </c>
      <c r="AV70" s="260">
        <f t="shared" si="129"/>
        <v>0</v>
      </c>
      <c r="AW70" s="296">
        <f t="shared" si="130"/>
        <v>0</v>
      </c>
      <c r="AX70" s="297">
        <f t="shared" si="131"/>
        <v>0</v>
      </c>
      <c r="AY70" s="260">
        <f t="shared" si="132"/>
        <v>0</v>
      </c>
      <c r="AZ70" s="296">
        <f t="shared" si="133"/>
        <v>0</v>
      </c>
      <c r="BA70" s="297">
        <f t="shared" si="134"/>
        <v>0</v>
      </c>
      <c r="BB70" s="260">
        <f t="shared" si="135"/>
        <v>0</v>
      </c>
      <c r="BC70" s="296">
        <f t="shared" si="136"/>
        <v>0</v>
      </c>
      <c r="BD70" s="297">
        <f t="shared" si="137"/>
        <v>0</v>
      </c>
      <c r="BE70" s="260">
        <f t="shared" si="156"/>
        <v>0</v>
      </c>
      <c r="BF70" s="296">
        <f t="shared" si="138"/>
        <v>0</v>
      </c>
      <c r="BG70" s="297">
        <f t="shared" si="139"/>
        <v>0</v>
      </c>
      <c r="BH70" s="260">
        <f t="shared" si="157"/>
        <v>0</v>
      </c>
      <c r="BI70" s="296">
        <f t="shared" si="140"/>
        <v>0</v>
      </c>
      <c r="BJ70" s="297">
        <f t="shared" si="141"/>
        <v>0</v>
      </c>
      <c r="BK70" s="260">
        <f t="shared" si="142"/>
        <v>0</v>
      </c>
      <c r="BL70" s="296">
        <f t="shared" si="143"/>
        <v>0</v>
      </c>
      <c r="BM70" s="297">
        <f t="shared" si="144"/>
        <v>0</v>
      </c>
      <c r="BN70" s="260">
        <f t="shared" si="145"/>
        <v>0</v>
      </c>
      <c r="BO70" s="296">
        <f t="shared" si="146"/>
        <v>0</v>
      </c>
      <c r="BP70" s="297">
        <f t="shared" si="147"/>
        <v>0</v>
      </c>
      <c r="BQ70" s="260">
        <f t="shared" si="148"/>
        <v>0</v>
      </c>
    </row>
    <row r="71" spans="1:70">
      <c r="A71" s="780"/>
      <c r="B71" s="782"/>
      <c r="C71" s="288" t="s">
        <v>169</v>
      </c>
      <c r="D71" s="289">
        <f t="shared" si="92"/>
        <v>0</v>
      </c>
      <c r="E71" s="290">
        <f t="shared" si="93"/>
        <v>0</v>
      </c>
      <c r="F71" s="291">
        <f t="shared" si="94"/>
        <v>0</v>
      </c>
      <c r="G71" s="296">
        <f t="shared" si="95"/>
        <v>0</v>
      </c>
      <c r="H71" s="297">
        <f t="shared" si="96"/>
        <v>0</v>
      </c>
      <c r="I71" s="260">
        <f t="shared" si="149"/>
        <v>0</v>
      </c>
      <c r="J71" s="296">
        <f t="shared" si="97"/>
        <v>0</v>
      </c>
      <c r="K71" s="297">
        <f t="shared" si="98"/>
        <v>0</v>
      </c>
      <c r="L71" s="260">
        <f t="shared" si="150"/>
        <v>0</v>
      </c>
      <c r="M71" s="296">
        <f t="shared" si="99"/>
        <v>0</v>
      </c>
      <c r="N71" s="297">
        <f t="shared" si="100"/>
        <v>0</v>
      </c>
      <c r="O71" s="260">
        <f t="shared" si="151"/>
        <v>0</v>
      </c>
      <c r="P71" s="296">
        <f t="shared" si="101"/>
        <v>0</v>
      </c>
      <c r="Q71" s="297">
        <f t="shared" si="102"/>
        <v>0</v>
      </c>
      <c r="R71" s="260">
        <f t="shared" si="103"/>
        <v>0</v>
      </c>
      <c r="S71" s="296">
        <f t="shared" si="104"/>
        <v>0</v>
      </c>
      <c r="T71" s="297">
        <f t="shared" si="105"/>
        <v>0</v>
      </c>
      <c r="U71" s="260">
        <f t="shared" si="106"/>
        <v>0</v>
      </c>
      <c r="V71" s="296">
        <f t="shared" si="107"/>
        <v>0</v>
      </c>
      <c r="W71" s="297">
        <f t="shared" si="108"/>
        <v>0</v>
      </c>
      <c r="X71" s="260">
        <f t="shared" si="109"/>
        <v>0</v>
      </c>
      <c r="Y71" s="296">
        <f t="shared" si="110"/>
        <v>0</v>
      </c>
      <c r="Z71" s="297">
        <f t="shared" si="111"/>
        <v>0</v>
      </c>
      <c r="AA71" s="260">
        <f t="shared" si="152"/>
        <v>0</v>
      </c>
      <c r="AB71" s="296">
        <f t="shared" si="112"/>
        <v>0</v>
      </c>
      <c r="AC71" s="297">
        <f t="shared" si="113"/>
        <v>0</v>
      </c>
      <c r="AD71" s="260">
        <f t="shared" si="153"/>
        <v>0</v>
      </c>
      <c r="AE71" s="296">
        <f t="shared" si="114"/>
        <v>0</v>
      </c>
      <c r="AF71" s="297">
        <f t="shared" si="115"/>
        <v>0</v>
      </c>
      <c r="AG71" s="260">
        <f t="shared" si="116"/>
        <v>0</v>
      </c>
      <c r="AH71" s="296">
        <f t="shared" si="117"/>
        <v>0</v>
      </c>
      <c r="AI71" s="297">
        <f t="shared" si="118"/>
        <v>0</v>
      </c>
      <c r="AJ71" s="260">
        <f t="shared" si="119"/>
        <v>0</v>
      </c>
      <c r="AK71" s="296">
        <f t="shared" si="120"/>
        <v>0</v>
      </c>
      <c r="AL71" s="297">
        <f t="shared" si="121"/>
        <v>0</v>
      </c>
      <c r="AM71" s="260">
        <f t="shared" si="122"/>
        <v>0</v>
      </c>
      <c r="AN71" s="296">
        <f t="shared" si="123"/>
        <v>0</v>
      </c>
      <c r="AO71" s="297">
        <f t="shared" si="124"/>
        <v>0</v>
      </c>
      <c r="AP71" s="260">
        <f t="shared" si="154"/>
        <v>0</v>
      </c>
      <c r="AQ71" s="296">
        <f t="shared" si="125"/>
        <v>0</v>
      </c>
      <c r="AR71" s="297">
        <f t="shared" si="126"/>
        <v>0</v>
      </c>
      <c r="AS71" s="260">
        <f t="shared" si="155"/>
        <v>0</v>
      </c>
      <c r="AT71" s="296">
        <f t="shared" si="127"/>
        <v>0</v>
      </c>
      <c r="AU71" s="297">
        <f t="shared" si="128"/>
        <v>0</v>
      </c>
      <c r="AV71" s="260">
        <f t="shared" si="129"/>
        <v>0</v>
      </c>
      <c r="AW71" s="296">
        <f t="shared" si="130"/>
        <v>0</v>
      </c>
      <c r="AX71" s="297">
        <f t="shared" si="131"/>
        <v>0</v>
      </c>
      <c r="AY71" s="260">
        <f t="shared" si="132"/>
        <v>0</v>
      </c>
      <c r="AZ71" s="296">
        <f t="shared" si="133"/>
        <v>0</v>
      </c>
      <c r="BA71" s="297">
        <f t="shared" si="134"/>
        <v>0</v>
      </c>
      <c r="BB71" s="260">
        <f t="shared" si="135"/>
        <v>0</v>
      </c>
      <c r="BC71" s="296">
        <f t="shared" si="136"/>
        <v>0</v>
      </c>
      <c r="BD71" s="297">
        <f t="shared" si="137"/>
        <v>0</v>
      </c>
      <c r="BE71" s="260">
        <f t="shared" si="156"/>
        <v>0</v>
      </c>
      <c r="BF71" s="296">
        <f t="shared" si="138"/>
        <v>0</v>
      </c>
      <c r="BG71" s="297">
        <f t="shared" si="139"/>
        <v>0</v>
      </c>
      <c r="BH71" s="260">
        <f t="shared" si="157"/>
        <v>0</v>
      </c>
      <c r="BI71" s="296">
        <f t="shared" si="140"/>
        <v>0</v>
      </c>
      <c r="BJ71" s="297">
        <f t="shared" si="141"/>
        <v>0</v>
      </c>
      <c r="BK71" s="260">
        <f t="shared" si="142"/>
        <v>0</v>
      </c>
      <c r="BL71" s="296">
        <f t="shared" si="143"/>
        <v>0</v>
      </c>
      <c r="BM71" s="297">
        <f t="shared" si="144"/>
        <v>0</v>
      </c>
      <c r="BN71" s="260">
        <f t="shared" si="145"/>
        <v>0</v>
      </c>
      <c r="BO71" s="296">
        <f t="shared" si="146"/>
        <v>0</v>
      </c>
      <c r="BP71" s="297">
        <f t="shared" si="147"/>
        <v>0</v>
      </c>
      <c r="BQ71" s="260">
        <f t="shared" si="148"/>
        <v>0</v>
      </c>
    </row>
    <row r="72" spans="1:70">
      <c r="A72" s="780"/>
      <c r="B72" s="782"/>
      <c r="C72" s="288" t="s">
        <v>170</v>
      </c>
      <c r="D72" s="289">
        <f t="shared" si="92"/>
        <v>0</v>
      </c>
      <c r="E72" s="290">
        <f t="shared" si="93"/>
        <v>0</v>
      </c>
      <c r="F72" s="291">
        <f t="shared" si="94"/>
        <v>0</v>
      </c>
      <c r="G72" s="296">
        <f t="shared" si="95"/>
        <v>0</v>
      </c>
      <c r="H72" s="297">
        <f t="shared" si="96"/>
        <v>0</v>
      </c>
      <c r="I72" s="260">
        <f t="shared" si="149"/>
        <v>0</v>
      </c>
      <c r="J72" s="296">
        <f t="shared" si="97"/>
        <v>0</v>
      </c>
      <c r="K72" s="297">
        <f t="shared" si="98"/>
        <v>0</v>
      </c>
      <c r="L72" s="260">
        <f t="shared" si="150"/>
        <v>0</v>
      </c>
      <c r="M72" s="296">
        <f t="shared" si="99"/>
        <v>0</v>
      </c>
      <c r="N72" s="297">
        <f t="shared" si="100"/>
        <v>0</v>
      </c>
      <c r="O72" s="260">
        <f t="shared" si="151"/>
        <v>0</v>
      </c>
      <c r="P72" s="296">
        <f t="shared" si="101"/>
        <v>0</v>
      </c>
      <c r="Q72" s="297">
        <f t="shared" si="102"/>
        <v>0</v>
      </c>
      <c r="R72" s="260">
        <f t="shared" si="103"/>
        <v>0</v>
      </c>
      <c r="S72" s="296">
        <f t="shared" si="104"/>
        <v>0</v>
      </c>
      <c r="T72" s="297">
        <f t="shared" si="105"/>
        <v>0</v>
      </c>
      <c r="U72" s="260">
        <f t="shared" si="106"/>
        <v>0</v>
      </c>
      <c r="V72" s="296">
        <f t="shared" si="107"/>
        <v>0</v>
      </c>
      <c r="W72" s="297">
        <f t="shared" si="108"/>
        <v>0</v>
      </c>
      <c r="X72" s="260">
        <f t="shared" si="109"/>
        <v>0</v>
      </c>
      <c r="Y72" s="296">
        <f t="shared" si="110"/>
        <v>0</v>
      </c>
      <c r="Z72" s="297">
        <f t="shared" si="111"/>
        <v>0</v>
      </c>
      <c r="AA72" s="260">
        <f t="shared" si="152"/>
        <v>0</v>
      </c>
      <c r="AB72" s="296">
        <f t="shared" si="112"/>
        <v>0</v>
      </c>
      <c r="AC72" s="297">
        <f t="shared" si="113"/>
        <v>0</v>
      </c>
      <c r="AD72" s="260">
        <f t="shared" si="153"/>
        <v>0</v>
      </c>
      <c r="AE72" s="296">
        <f t="shared" si="114"/>
        <v>0</v>
      </c>
      <c r="AF72" s="297">
        <f t="shared" si="115"/>
        <v>0</v>
      </c>
      <c r="AG72" s="260">
        <f t="shared" si="116"/>
        <v>0</v>
      </c>
      <c r="AH72" s="296">
        <f t="shared" si="117"/>
        <v>0</v>
      </c>
      <c r="AI72" s="297">
        <f t="shared" si="118"/>
        <v>0</v>
      </c>
      <c r="AJ72" s="260">
        <f t="shared" si="119"/>
        <v>0</v>
      </c>
      <c r="AK72" s="296">
        <f t="shared" si="120"/>
        <v>0</v>
      </c>
      <c r="AL72" s="297">
        <f t="shared" si="121"/>
        <v>0</v>
      </c>
      <c r="AM72" s="260">
        <f t="shared" si="122"/>
        <v>0</v>
      </c>
      <c r="AN72" s="296">
        <f t="shared" si="123"/>
        <v>0</v>
      </c>
      <c r="AO72" s="297">
        <f t="shared" si="124"/>
        <v>0</v>
      </c>
      <c r="AP72" s="260">
        <f t="shared" si="154"/>
        <v>0</v>
      </c>
      <c r="AQ72" s="296">
        <f t="shared" si="125"/>
        <v>0</v>
      </c>
      <c r="AR72" s="297">
        <f t="shared" si="126"/>
        <v>0</v>
      </c>
      <c r="AS72" s="260">
        <f t="shared" si="155"/>
        <v>0</v>
      </c>
      <c r="AT72" s="296">
        <f t="shared" si="127"/>
        <v>0</v>
      </c>
      <c r="AU72" s="297">
        <f t="shared" si="128"/>
        <v>0</v>
      </c>
      <c r="AV72" s="260">
        <f t="shared" si="129"/>
        <v>0</v>
      </c>
      <c r="AW72" s="296">
        <f t="shared" si="130"/>
        <v>0</v>
      </c>
      <c r="AX72" s="297">
        <f t="shared" si="131"/>
        <v>0</v>
      </c>
      <c r="AY72" s="260">
        <f t="shared" si="132"/>
        <v>0</v>
      </c>
      <c r="AZ72" s="296">
        <f t="shared" si="133"/>
        <v>0</v>
      </c>
      <c r="BA72" s="297">
        <f t="shared" si="134"/>
        <v>0</v>
      </c>
      <c r="BB72" s="260">
        <f t="shared" si="135"/>
        <v>0</v>
      </c>
      <c r="BC72" s="296">
        <f t="shared" si="136"/>
        <v>0</v>
      </c>
      <c r="BD72" s="297">
        <f t="shared" si="137"/>
        <v>0</v>
      </c>
      <c r="BE72" s="260">
        <f t="shared" si="156"/>
        <v>0</v>
      </c>
      <c r="BF72" s="296">
        <f t="shared" si="138"/>
        <v>0</v>
      </c>
      <c r="BG72" s="297">
        <f t="shared" si="139"/>
        <v>0</v>
      </c>
      <c r="BH72" s="260">
        <f t="shared" si="157"/>
        <v>0</v>
      </c>
      <c r="BI72" s="296">
        <f t="shared" si="140"/>
        <v>0</v>
      </c>
      <c r="BJ72" s="297">
        <f t="shared" si="141"/>
        <v>0</v>
      </c>
      <c r="BK72" s="260">
        <f t="shared" si="142"/>
        <v>0</v>
      </c>
      <c r="BL72" s="296">
        <f t="shared" si="143"/>
        <v>0</v>
      </c>
      <c r="BM72" s="297">
        <f t="shared" si="144"/>
        <v>0</v>
      </c>
      <c r="BN72" s="260">
        <f t="shared" si="145"/>
        <v>0</v>
      </c>
      <c r="BO72" s="296">
        <f t="shared" si="146"/>
        <v>0</v>
      </c>
      <c r="BP72" s="297">
        <f t="shared" si="147"/>
        <v>0</v>
      </c>
      <c r="BQ72" s="260">
        <f t="shared" si="148"/>
        <v>0</v>
      </c>
    </row>
    <row r="73" spans="1:70">
      <c r="A73" s="780"/>
      <c r="B73" s="782"/>
      <c r="C73" s="288" t="s">
        <v>171</v>
      </c>
      <c r="D73" s="289">
        <f t="shared" si="92"/>
        <v>0</v>
      </c>
      <c r="E73" s="290">
        <f t="shared" si="93"/>
        <v>0</v>
      </c>
      <c r="F73" s="291">
        <f t="shared" si="94"/>
        <v>0</v>
      </c>
      <c r="G73" s="296">
        <f t="shared" si="95"/>
        <v>0</v>
      </c>
      <c r="H73" s="297">
        <f t="shared" si="96"/>
        <v>0</v>
      </c>
      <c r="I73" s="260">
        <f t="shared" si="149"/>
        <v>0</v>
      </c>
      <c r="J73" s="296">
        <f t="shared" si="97"/>
        <v>0</v>
      </c>
      <c r="K73" s="297">
        <f t="shared" si="98"/>
        <v>0</v>
      </c>
      <c r="L73" s="260">
        <f t="shared" si="150"/>
        <v>0</v>
      </c>
      <c r="M73" s="296">
        <f t="shared" si="99"/>
        <v>0</v>
      </c>
      <c r="N73" s="297">
        <f t="shared" si="100"/>
        <v>0</v>
      </c>
      <c r="O73" s="260">
        <f t="shared" si="151"/>
        <v>0</v>
      </c>
      <c r="P73" s="296">
        <f t="shared" si="101"/>
        <v>0</v>
      </c>
      <c r="Q73" s="297">
        <f t="shared" si="102"/>
        <v>0</v>
      </c>
      <c r="R73" s="260">
        <f t="shared" si="103"/>
        <v>0</v>
      </c>
      <c r="S73" s="296">
        <f t="shared" si="104"/>
        <v>0</v>
      </c>
      <c r="T73" s="297">
        <f t="shared" si="105"/>
        <v>0</v>
      </c>
      <c r="U73" s="260">
        <f t="shared" si="106"/>
        <v>0</v>
      </c>
      <c r="V73" s="296">
        <f t="shared" si="107"/>
        <v>0</v>
      </c>
      <c r="W73" s="297">
        <f t="shared" si="108"/>
        <v>0</v>
      </c>
      <c r="X73" s="260">
        <f t="shared" si="109"/>
        <v>0</v>
      </c>
      <c r="Y73" s="296">
        <f t="shared" si="110"/>
        <v>0</v>
      </c>
      <c r="Z73" s="297">
        <f t="shared" si="111"/>
        <v>0</v>
      </c>
      <c r="AA73" s="260">
        <f t="shared" si="152"/>
        <v>0</v>
      </c>
      <c r="AB73" s="296">
        <f t="shared" si="112"/>
        <v>0</v>
      </c>
      <c r="AC73" s="297">
        <f t="shared" si="113"/>
        <v>0</v>
      </c>
      <c r="AD73" s="260">
        <f t="shared" si="153"/>
        <v>0</v>
      </c>
      <c r="AE73" s="296">
        <f t="shared" si="114"/>
        <v>0</v>
      </c>
      <c r="AF73" s="297">
        <f t="shared" si="115"/>
        <v>0</v>
      </c>
      <c r="AG73" s="260">
        <f t="shared" si="116"/>
        <v>0</v>
      </c>
      <c r="AH73" s="296">
        <f t="shared" si="117"/>
        <v>0</v>
      </c>
      <c r="AI73" s="297">
        <f t="shared" si="118"/>
        <v>0</v>
      </c>
      <c r="AJ73" s="260">
        <f t="shared" si="119"/>
        <v>0</v>
      </c>
      <c r="AK73" s="296">
        <f t="shared" si="120"/>
        <v>0</v>
      </c>
      <c r="AL73" s="297">
        <f t="shared" si="121"/>
        <v>0</v>
      </c>
      <c r="AM73" s="260">
        <f t="shared" si="122"/>
        <v>0</v>
      </c>
      <c r="AN73" s="296">
        <f t="shared" si="123"/>
        <v>0</v>
      </c>
      <c r="AO73" s="297">
        <f t="shared" si="124"/>
        <v>0</v>
      </c>
      <c r="AP73" s="260">
        <f t="shared" si="154"/>
        <v>0</v>
      </c>
      <c r="AQ73" s="296">
        <f t="shared" si="125"/>
        <v>0</v>
      </c>
      <c r="AR73" s="297">
        <f t="shared" si="126"/>
        <v>0</v>
      </c>
      <c r="AS73" s="260">
        <f t="shared" si="155"/>
        <v>0</v>
      </c>
      <c r="AT73" s="296">
        <f t="shared" si="127"/>
        <v>0</v>
      </c>
      <c r="AU73" s="297">
        <f t="shared" si="128"/>
        <v>0</v>
      </c>
      <c r="AV73" s="260">
        <f t="shared" si="129"/>
        <v>0</v>
      </c>
      <c r="AW73" s="296">
        <f t="shared" si="130"/>
        <v>0</v>
      </c>
      <c r="AX73" s="297">
        <f t="shared" si="131"/>
        <v>0</v>
      </c>
      <c r="AY73" s="260">
        <f t="shared" si="132"/>
        <v>0</v>
      </c>
      <c r="AZ73" s="296">
        <f t="shared" si="133"/>
        <v>0</v>
      </c>
      <c r="BA73" s="297">
        <f t="shared" si="134"/>
        <v>0</v>
      </c>
      <c r="BB73" s="260">
        <f t="shared" si="135"/>
        <v>0</v>
      </c>
      <c r="BC73" s="296">
        <f t="shared" si="136"/>
        <v>0</v>
      </c>
      <c r="BD73" s="297">
        <f t="shared" si="137"/>
        <v>0</v>
      </c>
      <c r="BE73" s="260">
        <f t="shared" si="156"/>
        <v>0</v>
      </c>
      <c r="BF73" s="296">
        <f t="shared" si="138"/>
        <v>0</v>
      </c>
      <c r="BG73" s="297">
        <f t="shared" si="139"/>
        <v>0</v>
      </c>
      <c r="BH73" s="260">
        <f t="shared" si="157"/>
        <v>0</v>
      </c>
      <c r="BI73" s="296">
        <f t="shared" si="140"/>
        <v>0</v>
      </c>
      <c r="BJ73" s="297">
        <f t="shared" si="141"/>
        <v>0</v>
      </c>
      <c r="BK73" s="260">
        <f t="shared" si="142"/>
        <v>0</v>
      </c>
      <c r="BL73" s="296">
        <f t="shared" si="143"/>
        <v>0</v>
      </c>
      <c r="BM73" s="297">
        <f t="shared" si="144"/>
        <v>0</v>
      </c>
      <c r="BN73" s="260">
        <f t="shared" si="145"/>
        <v>0</v>
      </c>
      <c r="BO73" s="296">
        <f t="shared" si="146"/>
        <v>0</v>
      </c>
      <c r="BP73" s="297">
        <f t="shared" si="147"/>
        <v>0</v>
      </c>
      <c r="BQ73" s="260">
        <f t="shared" si="148"/>
        <v>0</v>
      </c>
    </row>
    <row r="74" spans="1:70">
      <c r="A74" s="780"/>
      <c r="B74" s="782"/>
      <c r="C74" s="288" t="s">
        <v>172</v>
      </c>
      <c r="D74" s="289">
        <f t="shared" si="92"/>
        <v>0</v>
      </c>
      <c r="E74" s="290">
        <f t="shared" si="93"/>
        <v>0</v>
      </c>
      <c r="F74" s="291">
        <f t="shared" si="94"/>
        <v>0</v>
      </c>
      <c r="G74" s="296">
        <f t="shared" si="95"/>
        <v>0</v>
      </c>
      <c r="H74" s="297">
        <f t="shared" si="96"/>
        <v>0</v>
      </c>
      <c r="I74" s="260">
        <f t="shared" si="149"/>
        <v>0</v>
      </c>
      <c r="J74" s="296">
        <f t="shared" si="97"/>
        <v>0</v>
      </c>
      <c r="K74" s="297">
        <f t="shared" si="98"/>
        <v>0</v>
      </c>
      <c r="L74" s="260">
        <f t="shared" si="150"/>
        <v>0</v>
      </c>
      <c r="M74" s="296">
        <f t="shared" si="99"/>
        <v>0</v>
      </c>
      <c r="N74" s="297">
        <f t="shared" si="100"/>
        <v>0</v>
      </c>
      <c r="O74" s="260">
        <f t="shared" si="151"/>
        <v>0</v>
      </c>
      <c r="P74" s="296">
        <f t="shared" si="101"/>
        <v>0</v>
      </c>
      <c r="Q74" s="297">
        <f t="shared" si="102"/>
        <v>0</v>
      </c>
      <c r="R74" s="260">
        <f t="shared" si="103"/>
        <v>0</v>
      </c>
      <c r="S74" s="296">
        <f t="shared" si="104"/>
        <v>0</v>
      </c>
      <c r="T74" s="297">
        <f t="shared" si="105"/>
        <v>0</v>
      </c>
      <c r="U74" s="260">
        <f t="shared" si="106"/>
        <v>0</v>
      </c>
      <c r="V74" s="296">
        <f t="shared" si="107"/>
        <v>0</v>
      </c>
      <c r="W74" s="297">
        <f t="shared" si="108"/>
        <v>0</v>
      </c>
      <c r="X74" s="260">
        <f t="shared" si="109"/>
        <v>0</v>
      </c>
      <c r="Y74" s="296">
        <f t="shared" si="110"/>
        <v>0</v>
      </c>
      <c r="Z74" s="297">
        <f t="shared" si="111"/>
        <v>0</v>
      </c>
      <c r="AA74" s="260">
        <f t="shared" si="152"/>
        <v>0</v>
      </c>
      <c r="AB74" s="296">
        <f t="shared" si="112"/>
        <v>0</v>
      </c>
      <c r="AC74" s="297">
        <f t="shared" si="113"/>
        <v>0</v>
      </c>
      <c r="AD74" s="260">
        <f t="shared" si="153"/>
        <v>0</v>
      </c>
      <c r="AE74" s="296">
        <f t="shared" si="114"/>
        <v>0</v>
      </c>
      <c r="AF74" s="297">
        <f t="shared" si="115"/>
        <v>0</v>
      </c>
      <c r="AG74" s="260">
        <f t="shared" si="116"/>
        <v>0</v>
      </c>
      <c r="AH74" s="296">
        <f t="shared" si="117"/>
        <v>0</v>
      </c>
      <c r="AI74" s="297">
        <f t="shared" si="118"/>
        <v>0</v>
      </c>
      <c r="AJ74" s="260">
        <f t="shared" si="119"/>
        <v>0</v>
      </c>
      <c r="AK74" s="296">
        <f t="shared" si="120"/>
        <v>0</v>
      </c>
      <c r="AL74" s="297">
        <f t="shared" si="121"/>
        <v>0</v>
      </c>
      <c r="AM74" s="260">
        <f t="shared" si="122"/>
        <v>0</v>
      </c>
      <c r="AN74" s="296">
        <f t="shared" si="123"/>
        <v>0</v>
      </c>
      <c r="AO74" s="297">
        <f t="shared" si="124"/>
        <v>0</v>
      </c>
      <c r="AP74" s="260">
        <f t="shared" si="154"/>
        <v>0</v>
      </c>
      <c r="AQ74" s="296">
        <f t="shared" si="125"/>
        <v>0</v>
      </c>
      <c r="AR74" s="297">
        <f t="shared" si="126"/>
        <v>0</v>
      </c>
      <c r="AS74" s="260">
        <f t="shared" si="155"/>
        <v>0</v>
      </c>
      <c r="AT74" s="296">
        <f t="shared" si="127"/>
        <v>0</v>
      </c>
      <c r="AU74" s="297">
        <f t="shared" si="128"/>
        <v>0</v>
      </c>
      <c r="AV74" s="260">
        <f t="shared" si="129"/>
        <v>0</v>
      </c>
      <c r="AW74" s="296">
        <f t="shared" si="130"/>
        <v>0</v>
      </c>
      <c r="AX74" s="297">
        <f t="shared" si="131"/>
        <v>0</v>
      </c>
      <c r="AY74" s="260">
        <f t="shared" si="132"/>
        <v>0</v>
      </c>
      <c r="AZ74" s="296">
        <f t="shared" si="133"/>
        <v>0</v>
      </c>
      <c r="BA74" s="297">
        <f t="shared" si="134"/>
        <v>0</v>
      </c>
      <c r="BB74" s="260">
        <f t="shared" si="135"/>
        <v>0</v>
      </c>
      <c r="BC74" s="296">
        <f t="shared" si="136"/>
        <v>0</v>
      </c>
      <c r="BD74" s="297">
        <f t="shared" si="137"/>
        <v>0</v>
      </c>
      <c r="BE74" s="260">
        <f t="shared" si="156"/>
        <v>0</v>
      </c>
      <c r="BF74" s="296">
        <f t="shared" si="138"/>
        <v>0</v>
      </c>
      <c r="BG74" s="297">
        <f t="shared" si="139"/>
        <v>0</v>
      </c>
      <c r="BH74" s="260">
        <f t="shared" si="157"/>
        <v>0</v>
      </c>
      <c r="BI74" s="296">
        <f t="shared" si="140"/>
        <v>0</v>
      </c>
      <c r="BJ74" s="297">
        <f t="shared" si="141"/>
        <v>0</v>
      </c>
      <c r="BK74" s="260">
        <f t="shared" si="142"/>
        <v>0</v>
      </c>
      <c r="BL74" s="296">
        <f t="shared" si="143"/>
        <v>0</v>
      </c>
      <c r="BM74" s="297">
        <f t="shared" si="144"/>
        <v>0</v>
      </c>
      <c r="BN74" s="260">
        <f t="shared" si="145"/>
        <v>0</v>
      </c>
      <c r="BO74" s="296">
        <f t="shared" si="146"/>
        <v>0</v>
      </c>
      <c r="BP74" s="297">
        <f t="shared" si="147"/>
        <v>0</v>
      </c>
      <c r="BQ74" s="260">
        <f t="shared" si="148"/>
        <v>0</v>
      </c>
    </row>
    <row r="75" spans="1:70" ht="15.75" thickBot="1">
      <c r="A75" s="781"/>
      <c r="B75" s="783"/>
      <c r="C75" s="298" t="s">
        <v>173</v>
      </c>
      <c r="D75" s="299">
        <f t="shared" si="92"/>
        <v>0</v>
      </c>
      <c r="E75" s="300">
        <f t="shared" si="93"/>
        <v>0</v>
      </c>
      <c r="F75" s="301">
        <f t="shared" si="94"/>
        <v>0</v>
      </c>
      <c r="G75" s="302">
        <f t="shared" si="95"/>
        <v>0</v>
      </c>
      <c r="H75" s="303">
        <f t="shared" si="96"/>
        <v>0</v>
      </c>
      <c r="I75" s="265">
        <f t="shared" si="149"/>
        <v>0</v>
      </c>
      <c r="J75" s="302">
        <f t="shared" si="97"/>
        <v>0</v>
      </c>
      <c r="K75" s="303">
        <f t="shared" si="98"/>
        <v>0</v>
      </c>
      <c r="L75" s="265">
        <f t="shared" si="150"/>
        <v>0</v>
      </c>
      <c r="M75" s="302">
        <f t="shared" si="99"/>
        <v>0</v>
      </c>
      <c r="N75" s="303">
        <f t="shared" si="100"/>
        <v>0</v>
      </c>
      <c r="O75" s="265">
        <f t="shared" si="151"/>
        <v>0</v>
      </c>
      <c r="P75" s="302">
        <f t="shared" si="101"/>
        <v>0</v>
      </c>
      <c r="Q75" s="303">
        <f t="shared" si="102"/>
        <v>0</v>
      </c>
      <c r="R75" s="265">
        <f t="shared" si="103"/>
        <v>0</v>
      </c>
      <c r="S75" s="302">
        <f t="shared" si="104"/>
        <v>0</v>
      </c>
      <c r="T75" s="303">
        <f t="shared" si="105"/>
        <v>0</v>
      </c>
      <c r="U75" s="265">
        <f t="shared" si="106"/>
        <v>0</v>
      </c>
      <c r="V75" s="302">
        <f t="shared" si="107"/>
        <v>0</v>
      </c>
      <c r="W75" s="303">
        <f t="shared" si="108"/>
        <v>0</v>
      </c>
      <c r="X75" s="265">
        <f t="shared" si="109"/>
        <v>0</v>
      </c>
      <c r="Y75" s="302">
        <f t="shared" si="110"/>
        <v>0</v>
      </c>
      <c r="Z75" s="303">
        <f t="shared" si="111"/>
        <v>0</v>
      </c>
      <c r="AA75" s="265">
        <f t="shared" si="152"/>
        <v>0</v>
      </c>
      <c r="AB75" s="302">
        <f t="shared" si="112"/>
        <v>0</v>
      </c>
      <c r="AC75" s="303">
        <f t="shared" si="113"/>
        <v>0</v>
      </c>
      <c r="AD75" s="265">
        <f t="shared" si="153"/>
        <v>0</v>
      </c>
      <c r="AE75" s="302">
        <f t="shared" si="114"/>
        <v>0</v>
      </c>
      <c r="AF75" s="303">
        <f t="shared" si="115"/>
        <v>0</v>
      </c>
      <c r="AG75" s="265">
        <f t="shared" si="116"/>
        <v>0</v>
      </c>
      <c r="AH75" s="302">
        <f t="shared" si="117"/>
        <v>0</v>
      </c>
      <c r="AI75" s="303">
        <f t="shared" si="118"/>
        <v>0</v>
      </c>
      <c r="AJ75" s="265">
        <f t="shared" si="119"/>
        <v>0</v>
      </c>
      <c r="AK75" s="302">
        <f t="shared" si="120"/>
        <v>0</v>
      </c>
      <c r="AL75" s="303">
        <f t="shared" si="121"/>
        <v>0</v>
      </c>
      <c r="AM75" s="265">
        <f t="shared" si="122"/>
        <v>0</v>
      </c>
      <c r="AN75" s="302">
        <f t="shared" si="123"/>
        <v>0</v>
      </c>
      <c r="AO75" s="303">
        <f t="shared" si="124"/>
        <v>0</v>
      </c>
      <c r="AP75" s="265">
        <f t="shared" si="154"/>
        <v>0</v>
      </c>
      <c r="AQ75" s="302">
        <f t="shared" si="125"/>
        <v>0</v>
      </c>
      <c r="AR75" s="303">
        <f t="shared" si="126"/>
        <v>0</v>
      </c>
      <c r="AS75" s="265">
        <f t="shared" si="155"/>
        <v>0</v>
      </c>
      <c r="AT75" s="302">
        <f t="shared" si="127"/>
        <v>0</v>
      </c>
      <c r="AU75" s="303">
        <f t="shared" si="128"/>
        <v>0</v>
      </c>
      <c r="AV75" s="265">
        <f t="shared" si="129"/>
        <v>0</v>
      </c>
      <c r="AW75" s="302">
        <f t="shared" si="130"/>
        <v>0</v>
      </c>
      <c r="AX75" s="303">
        <f t="shared" si="131"/>
        <v>0</v>
      </c>
      <c r="AY75" s="265">
        <f t="shared" si="132"/>
        <v>0</v>
      </c>
      <c r="AZ75" s="302">
        <f t="shared" si="133"/>
        <v>0</v>
      </c>
      <c r="BA75" s="303">
        <f t="shared" si="134"/>
        <v>0</v>
      </c>
      <c r="BB75" s="265">
        <f t="shared" si="135"/>
        <v>0</v>
      </c>
      <c r="BC75" s="302">
        <f t="shared" si="136"/>
        <v>0</v>
      </c>
      <c r="BD75" s="303">
        <f t="shared" si="137"/>
        <v>0</v>
      </c>
      <c r="BE75" s="265">
        <f t="shared" si="156"/>
        <v>0</v>
      </c>
      <c r="BF75" s="302">
        <f t="shared" si="138"/>
        <v>0</v>
      </c>
      <c r="BG75" s="303">
        <f t="shared" si="139"/>
        <v>0</v>
      </c>
      <c r="BH75" s="265">
        <f t="shared" si="157"/>
        <v>0</v>
      </c>
      <c r="BI75" s="302">
        <f t="shared" si="140"/>
        <v>0</v>
      </c>
      <c r="BJ75" s="303">
        <f t="shared" si="141"/>
        <v>0</v>
      </c>
      <c r="BK75" s="265">
        <f t="shared" si="142"/>
        <v>0</v>
      </c>
      <c r="BL75" s="302">
        <f t="shared" si="143"/>
        <v>0</v>
      </c>
      <c r="BM75" s="303">
        <f t="shared" si="144"/>
        <v>0</v>
      </c>
      <c r="BN75" s="265">
        <f t="shared" si="145"/>
        <v>0</v>
      </c>
      <c r="BO75" s="302">
        <f t="shared" si="146"/>
        <v>0</v>
      </c>
      <c r="BP75" s="303">
        <f t="shared" si="147"/>
        <v>0</v>
      </c>
      <c r="BQ75" s="265">
        <f t="shared" si="148"/>
        <v>0</v>
      </c>
    </row>
    <row r="76" spans="1:70">
      <c r="A76" s="780" t="s">
        <v>201</v>
      </c>
      <c r="B76" s="782" t="s">
        <v>213</v>
      </c>
      <c r="C76" s="288" t="s">
        <v>164</v>
      </c>
      <c r="D76" s="289">
        <f t="shared" ref="D76:D95" si="158">SUM(G76,J76,M76,P76,S76,V76,Y76,AB76,AE76,AH76,AK76,AN76,AQ76,AT76,AW76,AZ76,AZ76,BC76,BF76,BI76,BL76,BO76)</f>
        <v>0</v>
      </c>
      <c r="E76" s="290">
        <f t="shared" ref="E76:E135" si="159">SUM(H76,K76,N76,Q76,T76,W76,Z76,AC76,AF76,AI76,AL76,AO76,AR76,AU76,AX76,BA76,BA76,BD76,BG76,BJ76,BM76,BP76)</f>
        <v>0</v>
      </c>
      <c r="F76" s="291">
        <f t="shared" ref="F76:F105" si="160">SUM(I76,L76,O76,R76,U76,X76,AA76,AD76,AG76,AJ76,AM76,AP76,AS76,AV76,AY76,BB76,BB76,BE76,BH76,BK76,BN76,BQ76)</f>
        <v>0</v>
      </c>
      <c r="G76" s="304">
        <f>G5*G35*Faktory!$D$8</f>
        <v>0</v>
      </c>
      <c r="H76" s="305">
        <f>((H66*G35)-(H66*((G35-H35)*(1+$BR$35))))*Faktory!$D$8</f>
        <v>0</v>
      </c>
      <c r="I76" s="255">
        <f>H76-G76</f>
        <v>0</v>
      </c>
      <c r="J76" s="304">
        <f>J5*J35*Faktory!$D$8</f>
        <v>0</v>
      </c>
      <c r="K76" s="305">
        <f>((K66*J35)-(K66*((J35-K35)*(1+$BR$35))))*Faktory!$D$8</f>
        <v>0</v>
      </c>
      <c r="L76" s="255">
        <f>K76-J76</f>
        <v>0</v>
      </c>
      <c r="M76" s="304">
        <f>M5*M35*Faktory!$D$8</f>
        <v>0</v>
      </c>
      <c r="N76" s="305">
        <f>((N66*M35)-(N66*((M35-N35)*(1+$BR$35))))*Faktory!$D$8</f>
        <v>0</v>
      </c>
      <c r="O76" s="255">
        <f>N76-M76</f>
        <v>0</v>
      </c>
      <c r="P76" s="304">
        <f>P5*P35*Faktory!$D$8</f>
        <v>0</v>
      </c>
      <c r="Q76" s="305">
        <f>((Q66*P35)-(Q66*((P35-Q35)*(1+$BR$35))))*Faktory!$D$8</f>
        <v>0</v>
      </c>
      <c r="R76" s="255">
        <f>Q76-P76</f>
        <v>0</v>
      </c>
      <c r="S76" s="304">
        <f>S5*S35*Faktory!$D$8</f>
        <v>0</v>
      </c>
      <c r="T76" s="305">
        <f>((T66*S35)-(T66*((S35-T35)*(1+$BR$35))))*Faktory!$D$8</f>
        <v>0</v>
      </c>
      <c r="U76" s="255">
        <f>T76-S76</f>
        <v>0</v>
      </c>
      <c r="V76" s="304">
        <f>V5*V35*Faktory!$D$8</f>
        <v>0</v>
      </c>
      <c r="W76" s="305">
        <f>((W66*V35)-(W66*((V35-W35)*(1+$BR$35))))*Faktory!$D$8</f>
        <v>0</v>
      </c>
      <c r="X76" s="255">
        <f>W76-V76</f>
        <v>0</v>
      </c>
      <c r="Y76" s="304">
        <f>Y5*Y35*Faktory!$D$8</f>
        <v>0</v>
      </c>
      <c r="Z76" s="305">
        <f>((Z66*Y35)-(Z66*((Y35-Z35)*(1+$BR$35))))*Faktory!$D$8</f>
        <v>0</v>
      </c>
      <c r="AA76" s="255">
        <f>Z76-Y76</f>
        <v>0</v>
      </c>
      <c r="AB76" s="304">
        <f>AB5*AB35*Faktory!$D$8</f>
        <v>0</v>
      </c>
      <c r="AC76" s="305">
        <f>((AC66*AB35)-(AC66*((AB35-AC35)*(1+$BR$35))))*Faktory!$D$8</f>
        <v>0</v>
      </c>
      <c r="AD76" s="255">
        <f>AC76-AB76</f>
        <v>0</v>
      </c>
      <c r="AE76" s="304">
        <f>AE5*AE35*Faktory!$D$8</f>
        <v>0</v>
      </c>
      <c r="AF76" s="305">
        <f>((AF66*AE35)-(AF66*((AE35-AF35)*(1+$BR$35))))*Faktory!$D$8</f>
        <v>0</v>
      </c>
      <c r="AG76" s="255">
        <f>AF76-AE76</f>
        <v>0</v>
      </c>
      <c r="AH76" s="304">
        <f>AH5*AH35*Faktory!$D$8</f>
        <v>0</v>
      </c>
      <c r="AI76" s="305">
        <f>((AI66*AH35)-(AI66*((AH35-AI35)*(1+$BR$35))))*Faktory!$D$8</f>
        <v>0</v>
      </c>
      <c r="AJ76" s="255">
        <f>AI76-AH76</f>
        <v>0</v>
      </c>
      <c r="AK76" s="304">
        <f>AK5*AK35*Faktory!$D$8</f>
        <v>0</v>
      </c>
      <c r="AL76" s="305">
        <f>((AL66*AK35)-(AL66*((AK35-AL35)*(1+$BR$35))))*Faktory!$D$8</f>
        <v>0</v>
      </c>
      <c r="AM76" s="255">
        <f>AL76-AK76</f>
        <v>0</v>
      </c>
      <c r="AN76" s="304">
        <f>AN5*AN35*Faktory!$D$8</f>
        <v>0</v>
      </c>
      <c r="AO76" s="305">
        <f>((AO66*AN35)-(AO66*((AN35-AO35)*(1+$BR$35))))*Faktory!$D$8</f>
        <v>0</v>
      </c>
      <c r="AP76" s="255">
        <f>AO76-AN76</f>
        <v>0</v>
      </c>
      <c r="AQ76" s="304">
        <f>AQ5*AQ35*Faktory!$D$8</f>
        <v>0</v>
      </c>
      <c r="AR76" s="305">
        <f>((AR66*AQ35)-(AR66*((AQ35-AR35)*(1+$BR$35))))*Faktory!$D$8</f>
        <v>0</v>
      </c>
      <c r="AS76" s="255">
        <f>AR76-AQ76</f>
        <v>0</v>
      </c>
      <c r="AT76" s="304">
        <f>AT5*AT35*Faktory!$D$8</f>
        <v>0</v>
      </c>
      <c r="AU76" s="305">
        <f>((AU66*AT35)-(AU66*((AT35-AU35)*(1+$BR$35))))*Faktory!$D$8</f>
        <v>0</v>
      </c>
      <c r="AV76" s="255">
        <f>AU76-AT76</f>
        <v>0</v>
      </c>
      <c r="AW76" s="304">
        <f>AW5*AW35*Faktory!$D$8</f>
        <v>0</v>
      </c>
      <c r="AX76" s="305">
        <f>((AX66*AW35)-(AX66*((AW35-AX35)*(1+$BR$35))))*Faktory!$D$8</f>
        <v>0</v>
      </c>
      <c r="AY76" s="255">
        <f>AX76-AW76</f>
        <v>0</v>
      </c>
      <c r="AZ76" s="304">
        <f>AZ5*AZ35*Faktory!$D$8</f>
        <v>0</v>
      </c>
      <c r="BA76" s="305">
        <f>((BA66*AZ35)-(BA66*((AZ35-BA35)*(1+$BR$35))))*Faktory!$D$8</f>
        <v>0</v>
      </c>
      <c r="BB76" s="255">
        <f>BA76-AZ76</f>
        <v>0</v>
      </c>
      <c r="BC76" s="304">
        <f>BC5*BC35*Faktory!$D$8</f>
        <v>0</v>
      </c>
      <c r="BD76" s="305">
        <f>((BD66*BC35)-(BD66*((BC35-BD35)*(1+$BR$35))))*Faktory!$D$8</f>
        <v>0</v>
      </c>
      <c r="BE76" s="255">
        <f>BD76-BC76</f>
        <v>0</v>
      </c>
      <c r="BF76" s="304">
        <f>BF5*BF35*Faktory!$D$8</f>
        <v>0</v>
      </c>
      <c r="BG76" s="305">
        <f>((BG66*BF35)-(BG66*((BF35-BG35)*(1+$BR$35))))*Faktory!$D$8</f>
        <v>0</v>
      </c>
      <c r="BH76" s="255">
        <f>BG76-BF76</f>
        <v>0</v>
      </c>
      <c r="BI76" s="304">
        <f>BI5*BI35*Faktory!$D$8</f>
        <v>0</v>
      </c>
      <c r="BJ76" s="305">
        <f>((BJ66*BI35)-(BJ66*((BI35-BJ35)*(1+$BR$35))))*Faktory!$D$8</f>
        <v>0</v>
      </c>
      <c r="BK76" s="255">
        <f>BJ76-BI76</f>
        <v>0</v>
      </c>
      <c r="BL76" s="304">
        <f>BL5*BL35*Faktory!$D$8</f>
        <v>0</v>
      </c>
      <c r="BM76" s="305">
        <f>((BM66*BL35)-(BM66*((BL35-BM35)*(1+$BR$35))))*Faktory!$D$8</f>
        <v>0</v>
      </c>
      <c r="BN76" s="255">
        <f>BM76-BL76</f>
        <v>0</v>
      </c>
      <c r="BO76" s="304">
        <f>BO5*BO35*Faktory!$D$8</f>
        <v>0</v>
      </c>
      <c r="BP76" s="305">
        <f>((BP66*BO35)-(BP66*((BO35-BP35)*(1+$BR$35))))*Faktory!$D$8</f>
        <v>0</v>
      </c>
      <c r="BQ76" s="255">
        <f>BP76-BO76</f>
        <v>0</v>
      </c>
    </row>
    <row r="77" spans="1:70">
      <c r="A77" s="780"/>
      <c r="B77" s="782"/>
      <c r="C77" s="288" t="s">
        <v>165</v>
      </c>
      <c r="D77" s="289">
        <f t="shared" si="158"/>
        <v>0</v>
      </c>
      <c r="E77" s="290">
        <f t="shared" si="159"/>
        <v>0</v>
      </c>
      <c r="F77" s="291">
        <f t="shared" si="160"/>
        <v>0</v>
      </c>
      <c r="G77" s="296">
        <f>G6*G36*Faktory!$D$8</f>
        <v>0</v>
      </c>
      <c r="H77" s="297">
        <f>((H67*G36)-(H67*((G36-H36)*(1+$BR$35))))*Faktory!$D$8</f>
        <v>0</v>
      </c>
      <c r="I77" s="260">
        <f t="shared" ref="I77:I95" si="161">H77-G77</f>
        <v>0</v>
      </c>
      <c r="J77" s="296">
        <f>J6*J36*Faktory!$D$8</f>
        <v>0</v>
      </c>
      <c r="K77" s="297">
        <f>((K67*J36)-(K67*((J36-K36)*(1+$BR$35))))*Faktory!$D$8</f>
        <v>0</v>
      </c>
      <c r="L77" s="260">
        <f t="shared" ref="L77:L95" si="162">K77-J77</f>
        <v>0</v>
      </c>
      <c r="M77" s="296">
        <f>M6*M36*Faktory!$D$8</f>
        <v>0</v>
      </c>
      <c r="N77" s="297">
        <f>((N67*M36)-(N67*((M36-N36)*(1+$BR$35))))*Faktory!$D$8</f>
        <v>0</v>
      </c>
      <c r="O77" s="260">
        <f t="shared" ref="O77:O95" si="163">N77-M77</f>
        <v>0</v>
      </c>
      <c r="P77" s="296">
        <f>P6*P36*Faktory!$D$8</f>
        <v>0</v>
      </c>
      <c r="Q77" s="297">
        <f>((Q67*P36)-(Q67*((P36-Q36)*(1+$BR$35))))*Faktory!$D$8</f>
        <v>0</v>
      </c>
      <c r="R77" s="260">
        <f t="shared" ref="R77:R95" si="164">Q77-P77</f>
        <v>0</v>
      </c>
      <c r="S77" s="296">
        <f>S6*S36*Faktory!$D$8</f>
        <v>0</v>
      </c>
      <c r="T77" s="297">
        <f>((T67*S36)-(T67*((S36-T36)*(1+$BR$35))))*Faktory!$D$8</f>
        <v>0</v>
      </c>
      <c r="U77" s="260">
        <f t="shared" ref="U77:U95" si="165">T77-S77</f>
        <v>0</v>
      </c>
      <c r="V77" s="296">
        <f>V6*V36*Faktory!$D$8</f>
        <v>0</v>
      </c>
      <c r="W77" s="297">
        <f>((W67*V36)-(W67*((V36-W36)*(1+$BR$35))))*Faktory!$D$8</f>
        <v>0</v>
      </c>
      <c r="X77" s="260">
        <f t="shared" ref="X77:X95" si="166">W77-V77</f>
        <v>0</v>
      </c>
      <c r="Y77" s="296">
        <f>Y6*Y36*Faktory!$D$8</f>
        <v>0</v>
      </c>
      <c r="Z77" s="297">
        <f>((Z67*Y36)-(Z67*((Y36-Z36)*(1+$BR$35))))*Faktory!$D$8</f>
        <v>0</v>
      </c>
      <c r="AA77" s="260">
        <f t="shared" ref="AA77:AA95" si="167">Z77-Y77</f>
        <v>0</v>
      </c>
      <c r="AB77" s="296">
        <f>AB6*AB36*Faktory!$D$8</f>
        <v>0</v>
      </c>
      <c r="AC77" s="297">
        <f>((AC67*AB36)-(AC67*((AB36-AC36)*(1+$BR$35))))*Faktory!$D$8</f>
        <v>0</v>
      </c>
      <c r="AD77" s="260">
        <f t="shared" ref="AD77:AD95" si="168">AC77-AB77</f>
        <v>0</v>
      </c>
      <c r="AE77" s="296">
        <f>AE6*AE36*Faktory!$D$8</f>
        <v>0</v>
      </c>
      <c r="AF77" s="297">
        <f>((AF67*AE36)-(AF67*((AE36-AF36)*(1+$BR$35))))*Faktory!$D$8</f>
        <v>0</v>
      </c>
      <c r="AG77" s="260">
        <f t="shared" ref="AG77:AG95" si="169">AF77-AE77</f>
        <v>0</v>
      </c>
      <c r="AH77" s="296">
        <f>AH6*AH36*Faktory!$D$8</f>
        <v>0</v>
      </c>
      <c r="AI77" s="297">
        <f>((AI67*AH36)-(AI67*((AH36-AI36)*(1+$BR$35))))*Faktory!$D$8</f>
        <v>0</v>
      </c>
      <c r="AJ77" s="260">
        <f t="shared" ref="AJ77:AJ95" si="170">AI77-AH77</f>
        <v>0</v>
      </c>
      <c r="AK77" s="296">
        <f>AK6*AK36*Faktory!$D$8</f>
        <v>0</v>
      </c>
      <c r="AL77" s="297">
        <f>((AL67*AK36)-(AL67*((AK36-AL36)*(1+$BR$35))))*Faktory!$D$8</f>
        <v>0</v>
      </c>
      <c r="AM77" s="260">
        <f t="shared" ref="AM77:AM95" si="171">AL77-AK77</f>
        <v>0</v>
      </c>
      <c r="AN77" s="296">
        <f>AN6*AN36*Faktory!$D$8</f>
        <v>0</v>
      </c>
      <c r="AO77" s="297">
        <f>((AO67*AN36)-(AO67*((AN36-AO36)*(1+$BR$35))))*Faktory!$D$8</f>
        <v>0</v>
      </c>
      <c r="AP77" s="260">
        <f t="shared" ref="AP77:AP95" si="172">AO77-AN77</f>
        <v>0</v>
      </c>
      <c r="AQ77" s="296">
        <f>AQ6*AQ36*Faktory!$D$8</f>
        <v>0</v>
      </c>
      <c r="AR77" s="297">
        <f>((AR67*AQ36)-(AR67*((AQ36-AR36)*(1+$BR$35))))*Faktory!$D$8</f>
        <v>0</v>
      </c>
      <c r="AS77" s="260">
        <f t="shared" ref="AS77:AS95" si="173">AR77-AQ77</f>
        <v>0</v>
      </c>
      <c r="AT77" s="296">
        <f>AT6*AT36*Faktory!$D$8</f>
        <v>0</v>
      </c>
      <c r="AU77" s="297">
        <f>((AU67*AT36)-(AU67*((AT36-AU36)*(1+$BR$35))))*Faktory!$D$8</f>
        <v>0</v>
      </c>
      <c r="AV77" s="260">
        <f t="shared" ref="AV77:AV95" si="174">AU77-AT77</f>
        <v>0</v>
      </c>
      <c r="AW77" s="296">
        <f>AW6*AW36*Faktory!$D$8</f>
        <v>0</v>
      </c>
      <c r="AX77" s="297">
        <f>((AX67*AW36)-(AX67*((AW36-AX36)*(1+$BR$35))))*Faktory!$D$8</f>
        <v>0</v>
      </c>
      <c r="AY77" s="260">
        <f t="shared" ref="AY77:AY95" si="175">AX77-AW77</f>
        <v>0</v>
      </c>
      <c r="AZ77" s="296">
        <f>AZ6*AZ36*Faktory!$D$8</f>
        <v>0</v>
      </c>
      <c r="BA77" s="297">
        <f>((BA67*AZ36)-(BA67*((AZ36-BA36)*(1+$BR$35))))*Faktory!$D$8</f>
        <v>0</v>
      </c>
      <c r="BB77" s="260">
        <f t="shared" ref="BB77:BB95" si="176">BA77-AZ77</f>
        <v>0</v>
      </c>
      <c r="BC77" s="296">
        <f>BC6*BC36*Faktory!$D$8</f>
        <v>0</v>
      </c>
      <c r="BD77" s="297">
        <f>((BD67*BC36)-(BD67*((BC36-BD36)*(1+$BR$35))))*Faktory!$D$8</f>
        <v>0</v>
      </c>
      <c r="BE77" s="260">
        <f t="shared" ref="BE77:BE95" si="177">BD77-BC77</f>
        <v>0</v>
      </c>
      <c r="BF77" s="296">
        <f>BF6*BF36*Faktory!$D$8</f>
        <v>0</v>
      </c>
      <c r="BG77" s="297">
        <f>((BG67*BF36)-(BG67*((BF36-BG36)*(1+$BR$35))))*Faktory!$D$8</f>
        <v>0</v>
      </c>
      <c r="BH77" s="260">
        <f t="shared" ref="BH77:BH95" si="178">BG77-BF77</f>
        <v>0</v>
      </c>
      <c r="BI77" s="296">
        <f>BI6*BI36*Faktory!$D$8</f>
        <v>0</v>
      </c>
      <c r="BJ77" s="297">
        <f>((BJ67*BI36)-(BJ67*((BI36-BJ36)*(1+$BR$35))))*Faktory!$D$8</f>
        <v>0</v>
      </c>
      <c r="BK77" s="260">
        <f t="shared" ref="BK77:BK95" si="179">BJ77-BI77</f>
        <v>0</v>
      </c>
      <c r="BL77" s="296">
        <f>BL6*BL36*Faktory!$D$8</f>
        <v>0</v>
      </c>
      <c r="BM77" s="297">
        <f>((BM67*BL36)-(BM67*((BL36-BM36)*(1+$BR$35))))*Faktory!$D$8</f>
        <v>0</v>
      </c>
      <c r="BN77" s="260">
        <f t="shared" ref="BN77:BN95" si="180">BM77-BL77</f>
        <v>0</v>
      </c>
      <c r="BO77" s="296">
        <f>BO6*BO36*Faktory!$D$8</f>
        <v>0</v>
      </c>
      <c r="BP77" s="297">
        <f>((BP67*BO36)-(BP67*((BO36-BP36)*(1+$BR$35))))*Faktory!$D$8</f>
        <v>0</v>
      </c>
      <c r="BQ77" s="260">
        <f t="shared" ref="BQ77:BQ95" si="181">BP77-BO77</f>
        <v>0</v>
      </c>
    </row>
    <row r="78" spans="1:70">
      <c r="A78" s="780"/>
      <c r="B78" s="782"/>
      <c r="C78" s="288" t="s">
        <v>166</v>
      </c>
      <c r="D78" s="289">
        <f t="shared" si="158"/>
        <v>0</v>
      </c>
      <c r="E78" s="290">
        <f t="shared" si="159"/>
        <v>0</v>
      </c>
      <c r="F78" s="291">
        <f t="shared" si="160"/>
        <v>0</v>
      </c>
      <c r="G78" s="296">
        <f>G7*G37*Faktory!$D$8</f>
        <v>0</v>
      </c>
      <c r="H78" s="297">
        <f>((H68*G37)-(H68*((G37-H37)*(1+$BR$35))))*Faktory!$D$8</f>
        <v>0</v>
      </c>
      <c r="I78" s="260">
        <f t="shared" si="161"/>
        <v>0</v>
      </c>
      <c r="J78" s="296">
        <f>J7*J37*Faktory!$D$8</f>
        <v>0</v>
      </c>
      <c r="K78" s="297">
        <f>((K68*J37)-(K68*((J37-K37)*(1+$BR$35))))*Faktory!$D$8</f>
        <v>0</v>
      </c>
      <c r="L78" s="260">
        <f t="shared" si="162"/>
        <v>0</v>
      </c>
      <c r="M78" s="296">
        <f>M7*M37*Faktory!$D$8</f>
        <v>0</v>
      </c>
      <c r="N78" s="297">
        <f>((N68*M37)-(N68*((M37-N37)*(1+$BR$35))))*Faktory!$D$8</f>
        <v>0</v>
      </c>
      <c r="O78" s="260">
        <f t="shared" si="163"/>
        <v>0</v>
      </c>
      <c r="P78" s="296">
        <f>P7*P37*Faktory!$D$8</f>
        <v>0</v>
      </c>
      <c r="Q78" s="297">
        <f>((Q68*P37)-(Q68*((P37-Q37)*(1+$BR$35))))*Faktory!$D$8</f>
        <v>0</v>
      </c>
      <c r="R78" s="260">
        <f t="shared" si="164"/>
        <v>0</v>
      </c>
      <c r="S78" s="296">
        <f>S7*S37*Faktory!$D$8</f>
        <v>0</v>
      </c>
      <c r="T78" s="297">
        <f>((T68*S37)-(T68*((S37-T37)*(1+$BR$35))))*Faktory!$D$8</f>
        <v>0</v>
      </c>
      <c r="U78" s="260">
        <f t="shared" si="165"/>
        <v>0</v>
      </c>
      <c r="V78" s="296">
        <f>V7*V37*Faktory!$D$8</f>
        <v>0</v>
      </c>
      <c r="W78" s="297">
        <f>((W68*V37)-(W68*((V37-W37)*(1+$BR$35))))*Faktory!$D$8</f>
        <v>0</v>
      </c>
      <c r="X78" s="260">
        <f t="shared" si="166"/>
        <v>0</v>
      </c>
      <c r="Y78" s="296">
        <f>Y7*Y37*Faktory!$D$8</f>
        <v>0</v>
      </c>
      <c r="Z78" s="297">
        <f>((Z68*Y37)-(Z68*((Y37-Z37)*(1+$BR$35))))*Faktory!$D$8</f>
        <v>0</v>
      </c>
      <c r="AA78" s="260">
        <f t="shared" si="167"/>
        <v>0</v>
      </c>
      <c r="AB78" s="296">
        <f>AB7*AB37*Faktory!$D$8</f>
        <v>0</v>
      </c>
      <c r="AC78" s="297">
        <f>((AC68*AB37)-(AC68*((AB37-AC37)*(1+$BR$35))))*Faktory!$D$8</f>
        <v>0</v>
      </c>
      <c r="AD78" s="260">
        <f t="shared" si="168"/>
        <v>0</v>
      </c>
      <c r="AE78" s="296">
        <f>AE7*AE37*Faktory!$D$8</f>
        <v>0</v>
      </c>
      <c r="AF78" s="297">
        <f>((AF68*AE37)-(AF68*((AE37-AF37)*(1+$BR$35))))*Faktory!$D$8</f>
        <v>0</v>
      </c>
      <c r="AG78" s="260">
        <f t="shared" si="169"/>
        <v>0</v>
      </c>
      <c r="AH78" s="296">
        <f>AH7*AH37*Faktory!$D$8</f>
        <v>0</v>
      </c>
      <c r="AI78" s="297">
        <f>((AI68*AH37)-(AI68*((AH37-AI37)*(1+$BR$35))))*Faktory!$D$8</f>
        <v>0</v>
      </c>
      <c r="AJ78" s="260">
        <f t="shared" si="170"/>
        <v>0</v>
      </c>
      <c r="AK78" s="296">
        <f>AK7*AK37*Faktory!$D$8</f>
        <v>0</v>
      </c>
      <c r="AL78" s="297">
        <f>((AL68*AK37)-(AL68*((AK37-AL37)*(1+$BR$35))))*Faktory!$D$8</f>
        <v>0</v>
      </c>
      <c r="AM78" s="260">
        <f t="shared" si="171"/>
        <v>0</v>
      </c>
      <c r="AN78" s="296">
        <f>AN7*AN37*Faktory!$D$8</f>
        <v>0</v>
      </c>
      <c r="AO78" s="297">
        <f>((AO68*AN37)-(AO68*((AN37-AO37)*(1+$BR$35))))*Faktory!$D$8</f>
        <v>0</v>
      </c>
      <c r="AP78" s="260">
        <f t="shared" si="172"/>
        <v>0</v>
      </c>
      <c r="AQ78" s="296">
        <f>AQ7*AQ37*Faktory!$D$8</f>
        <v>0</v>
      </c>
      <c r="AR78" s="297">
        <f>((AR68*AQ37)-(AR68*((AQ37-AR37)*(1+$BR$35))))*Faktory!$D$8</f>
        <v>0</v>
      </c>
      <c r="AS78" s="260">
        <f t="shared" si="173"/>
        <v>0</v>
      </c>
      <c r="AT78" s="296">
        <f>AT7*AT37*Faktory!$D$8</f>
        <v>0</v>
      </c>
      <c r="AU78" s="297">
        <f>((AU68*AT37)-(AU68*((AT37-AU37)*(1+$BR$35))))*Faktory!$D$8</f>
        <v>0</v>
      </c>
      <c r="AV78" s="260">
        <f t="shared" si="174"/>
        <v>0</v>
      </c>
      <c r="AW78" s="296">
        <f>AW7*AW37*Faktory!$D$8</f>
        <v>0</v>
      </c>
      <c r="AX78" s="297">
        <f>((AX68*AW37)-(AX68*((AW37-AX37)*(1+$BR$35))))*Faktory!$D$8</f>
        <v>0</v>
      </c>
      <c r="AY78" s="260">
        <f t="shared" si="175"/>
        <v>0</v>
      </c>
      <c r="AZ78" s="296">
        <f>AZ7*AZ37*Faktory!$D$8</f>
        <v>0</v>
      </c>
      <c r="BA78" s="297">
        <f>((BA68*AZ37)-(BA68*((AZ37-BA37)*(1+$BR$35))))*Faktory!$D$8</f>
        <v>0</v>
      </c>
      <c r="BB78" s="260">
        <f t="shared" si="176"/>
        <v>0</v>
      </c>
      <c r="BC78" s="296">
        <f>BC7*BC37*Faktory!$D$8</f>
        <v>0</v>
      </c>
      <c r="BD78" s="297">
        <f>((BD68*BC37)-(BD68*((BC37-BD37)*(1+$BR$35))))*Faktory!$D$8</f>
        <v>0</v>
      </c>
      <c r="BE78" s="260">
        <f t="shared" si="177"/>
        <v>0</v>
      </c>
      <c r="BF78" s="296">
        <f>BF7*BF37*Faktory!$D$8</f>
        <v>0</v>
      </c>
      <c r="BG78" s="297">
        <f>((BG68*BF37)-(BG68*((BF37-BG37)*(1+$BR$35))))*Faktory!$D$8</f>
        <v>0</v>
      </c>
      <c r="BH78" s="260">
        <f t="shared" si="178"/>
        <v>0</v>
      </c>
      <c r="BI78" s="296">
        <f>BI7*BI37*Faktory!$D$8</f>
        <v>0</v>
      </c>
      <c r="BJ78" s="297">
        <f>((BJ68*BI37)-(BJ68*((BI37-BJ37)*(1+$BR$35))))*Faktory!$D$8</f>
        <v>0</v>
      </c>
      <c r="BK78" s="260">
        <f t="shared" si="179"/>
        <v>0</v>
      </c>
      <c r="BL78" s="296">
        <f>BL7*BL37*Faktory!$D$8</f>
        <v>0</v>
      </c>
      <c r="BM78" s="297">
        <f>((BM68*BL37)-(BM68*((BL37-BM37)*(1+$BR$35))))*Faktory!$D$8</f>
        <v>0</v>
      </c>
      <c r="BN78" s="260">
        <f t="shared" si="180"/>
        <v>0</v>
      </c>
      <c r="BO78" s="296">
        <f>BO7*BO37*Faktory!$D$8</f>
        <v>0</v>
      </c>
      <c r="BP78" s="297">
        <f>((BP68*BO37)-(BP68*((BO37-BP37)*(1+$BR$35))))*Faktory!$D$8</f>
        <v>0</v>
      </c>
      <c r="BQ78" s="260">
        <f t="shared" si="181"/>
        <v>0</v>
      </c>
    </row>
    <row r="79" spans="1:70">
      <c r="A79" s="780"/>
      <c r="B79" s="782"/>
      <c r="C79" s="288" t="s">
        <v>167</v>
      </c>
      <c r="D79" s="289">
        <f t="shared" si="158"/>
        <v>0</v>
      </c>
      <c r="E79" s="290">
        <f t="shared" si="159"/>
        <v>0</v>
      </c>
      <c r="F79" s="291">
        <f t="shared" si="160"/>
        <v>0</v>
      </c>
      <c r="G79" s="296">
        <f>G8*G38*Faktory!$D$8</f>
        <v>0</v>
      </c>
      <c r="H79" s="297">
        <f>((H69*G38)-(H69*((G38-H38)*(1+$BR$35))))*Faktory!$D$8</f>
        <v>0</v>
      </c>
      <c r="I79" s="260">
        <f t="shared" si="161"/>
        <v>0</v>
      </c>
      <c r="J79" s="296">
        <f>J8*J38*Faktory!$D$8</f>
        <v>0</v>
      </c>
      <c r="K79" s="297">
        <f>((K69*J38)-(K69*((J38-K38)*(1+$BR$35))))*Faktory!$D$8</f>
        <v>0</v>
      </c>
      <c r="L79" s="260">
        <f t="shared" si="162"/>
        <v>0</v>
      </c>
      <c r="M79" s="296">
        <f>M8*M38*Faktory!$D$8</f>
        <v>0</v>
      </c>
      <c r="N79" s="297">
        <f>((N69*M38)-(N69*((M38-N38)*(1+$BR$35))))*Faktory!$D$8</f>
        <v>0</v>
      </c>
      <c r="O79" s="260">
        <f t="shared" si="163"/>
        <v>0</v>
      </c>
      <c r="P79" s="296">
        <f>P8*P38*Faktory!$D$8</f>
        <v>0</v>
      </c>
      <c r="Q79" s="297">
        <f>((Q69*P38)-(Q69*((P38-Q38)*(1+$BR$35))))*Faktory!$D$8</f>
        <v>0</v>
      </c>
      <c r="R79" s="260">
        <f t="shared" si="164"/>
        <v>0</v>
      </c>
      <c r="S79" s="296">
        <f>S8*S38*Faktory!$D$8</f>
        <v>0</v>
      </c>
      <c r="T79" s="297">
        <f>((T69*S38)-(T69*((S38-T38)*(1+$BR$35))))*Faktory!$D$8</f>
        <v>0</v>
      </c>
      <c r="U79" s="260">
        <f t="shared" si="165"/>
        <v>0</v>
      </c>
      <c r="V79" s="296">
        <f>V8*V38*Faktory!$D$8</f>
        <v>0</v>
      </c>
      <c r="W79" s="297">
        <f>((W69*V38)-(W69*((V38-W38)*(1+$BR$35))))*Faktory!$D$8</f>
        <v>0</v>
      </c>
      <c r="X79" s="260">
        <f t="shared" si="166"/>
        <v>0</v>
      </c>
      <c r="Y79" s="296">
        <f>Y8*Y38*Faktory!$D$8</f>
        <v>0</v>
      </c>
      <c r="Z79" s="297">
        <f>((Z69*Y38)-(Z69*((Y38-Z38)*(1+$BR$35))))*Faktory!$D$8</f>
        <v>0</v>
      </c>
      <c r="AA79" s="260">
        <f t="shared" si="167"/>
        <v>0</v>
      </c>
      <c r="AB79" s="296">
        <f>AB8*AB38*Faktory!$D$8</f>
        <v>0</v>
      </c>
      <c r="AC79" s="297">
        <f>((AC69*AB38)-(AC69*((AB38-AC38)*(1+$BR$35))))*Faktory!$D$8</f>
        <v>0</v>
      </c>
      <c r="AD79" s="260">
        <f t="shared" si="168"/>
        <v>0</v>
      </c>
      <c r="AE79" s="296">
        <f>AE8*AE38*Faktory!$D$8</f>
        <v>0</v>
      </c>
      <c r="AF79" s="297">
        <f>((AF69*AE38)-(AF69*((AE38-AF38)*(1+$BR$35))))*Faktory!$D$8</f>
        <v>0</v>
      </c>
      <c r="AG79" s="260">
        <f t="shared" si="169"/>
        <v>0</v>
      </c>
      <c r="AH79" s="296">
        <f>AH8*AH38*Faktory!$D$8</f>
        <v>0</v>
      </c>
      <c r="AI79" s="297">
        <f>((AI69*AH38)-(AI69*((AH38-AI38)*(1+$BR$35))))*Faktory!$D$8</f>
        <v>0</v>
      </c>
      <c r="AJ79" s="260">
        <f t="shared" si="170"/>
        <v>0</v>
      </c>
      <c r="AK79" s="296">
        <f>AK8*AK38*Faktory!$D$8</f>
        <v>0</v>
      </c>
      <c r="AL79" s="297">
        <f>((AL69*AK38)-(AL69*((AK38-AL38)*(1+$BR$35))))*Faktory!$D$8</f>
        <v>0</v>
      </c>
      <c r="AM79" s="260">
        <f t="shared" si="171"/>
        <v>0</v>
      </c>
      <c r="AN79" s="296">
        <f>AN8*AN38*Faktory!$D$8</f>
        <v>0</v>
      </c>
      <c r="AO79" s="297">
        <f>((AO69*AN38)-(AO69*((AN38-AO38)*(1+$BR$35))))*Faktory!$D$8</f>
        <v>0</v>
      </c>
      <c r="AP79" s="260">
        <f t="shared" si="172"/>
        <v>0</v>
      </c>
      <c r="AQ79" s="296">
        <f>AQ8*AQ38*Faktory!$D$8</f>
        <v>0</v>
      </c>
      <c r="AR79" s="297">
        <f>((AR69*AQ38)-(AR69*((AQ38-AR38)*(1+$BR$35))))*Faktory!$D$8</f>
        <v>0</v>
      </c>
      <c r="AS79" s="260">
        <f t="shared" si="173"/>
        <v>0</v>
      </c>
      <c r="AT79" s="296">
        <f>AT8*AT38*Faktory!$D$8</f>
        <v>0</v>
      </c>
      <c r="AU79" s="297">
        <f>((AU69*AT38)-(AU69*((AT38-AU38)*(1+$BR$35))))*Faktory!$D$8</f>
        <v>0</v>
      </c>
      <c r="AV79" s="260">
        <f t="shared" si="174"/>
        <v>0</v>
      </c>
      <c r="AW79" s="296">
        <f>AW8*AW38*Faktory!$D$8</f>
        <v>0</v>
      </c>
      <c r="AX79" s="297">
        <f>((AX69*AW38)-(AX69*((AW38-AX38)*(1+$BR$35))))*Faktory!$D$8</f>
        <v>0</v>
      </c>
      <c r="AY79" s="260">
        <f t="shared" si="175"/>
        <v>0</v>
      </c>
      <c r="AZ79" s="296">
        <f>AZ8*AZ38*Faktory!$D$8</f>
        <v>0</v>
      </c>
      <c r="BA79" s="297">
        <f>((BA69*AZ38)-(BA69*((AZ38-BA38)*(1+$BR$35))))*Faktory!$D$8</f>
        <v>0</v>
      </c>
      <c r="BB79" s="260">
        <f t="shared" si="176"/>
        <v>0</v>
      </c>
      <c r="BC79" s="296">
        <f>BC8*BC38*Faktory!$D$8</f>
        <v>0</v>
      </c>
      <c r="BD79" s="297">
        <f>((BD69*BC38)-(BD69*((BC38-BD38)*(1+$BR$35))))*Faktory!$D$8</f>
        <v>0</v>
      </c>
      <c r="BE79" s="260">
        <f t="shared" si="177"/>
        <v>0</v>
      </c>
      <c r="BF79" s="296">
        <f>BF8*BF38*Faktory!$D$8</f>
        <v>0</v>
      </c>
      <c r="BG79" s="297">
        <f>((BG69*BF38)-(BG69*((BF38-BG38)*(1+$BR$35))))*Faktory!$D$8</f>
        <v>0</v>
      </c>
      <c r="BH79" s="260">
        <f t="shared" si="178"/>
        <v>0</v>
      </c>
      <c r="BI79" s="296">
        <f>BI8*BI38*Faktory!$D$8</f>
        <v>0</v>
      </c>
      <c r="BJ79" s="297">
        <f>((BJ69*BI38)-(BJ69*((BI38-BJ38)*(1+$BR$35))))*Faktory!$D$8</f>
        <v>0</v>
      </c>
      <c r="BK79" s="260">
        <f t="shared" si="179"/>
        <v>0</v>
      </c>
      <c r="BL79" s="296">
        <f>BL8*BL38*Faktory!$D$8</f>
        <v>0</v>
      </c>
      <c r="BM79" s="297">
        <f>((BM69*BL38)-(BM69*((BL38-BM38)*(1+$BR$35))))*Faktory!$D$8</f>
        <v>0</v>
      </c>
      <c r="BN79" s="260">
        <f t="shared" si="180"/>
        <v>0</v>
      </c>
      <c r="BO79" s="296">
        <f>BO8*BO38*Faktory!$D$8</f>
        <v>0</v>
      </c>
      <c r="BP79" s="297">
        <f>((BP69*BO38)-(BP69*((BO38-BP38)*(1+$BR$35))))*Faktory!$D$8</f>
        <v>0</v>
      </c>
      <c r="BQ79" s="260">
        <f t="shared" si="181"/>
        <v>0</v>
      </c>
    </row>
    <row r="80" spans="1:70">
      <c r="A80" s="780"/>
      <c r="B80" s="782"/>
      <c r="C80" s="288" t="s">
        <v>168</v>
      </c>
      <c r="D80" s="289">
        <f t="shared" si="158"/>
        <v>0</v>
      </c>
      <c r="E80" s="290">
        <f t="shared" si="159"/>
        <v>0</v>
      </c>
      <c r="F80" s="291">
        <f t="shared" si="160"/>
        <v>0</v>
      </c>
      <c r="G80" s="296">
        <f>G9*G39*Faktory!$D$8</f>
        <v>0</v>
      </c>
      <c r="H80" s="297">
        <f>((H70*G39)-(H70*((G39-H39)*(1+$BR$35))))*Faktory!$D$8</f>
        <v>0</v>
      </c>
      <c r="I80" s="260">
        <f t="shared" si="161"/>
        <v>0</v>
      </c>
      <c r="J80" s="296">
        <f>J9*J39*Faktory!$D$8</f>
        <v>0</v>
      </c>
      <c r="K80" s="297">
        <f>((K70*J39)-(K70*((J39-K39)*(1+$BR$35))))*Faktory!$D$8</f>
        <v>0</v>
      </c>
      <c r="L80" s="260">
        <f t="shared" si="162"/>
        <v>0</v>
      </c>
      <c r="M80" s="296">
        <f>M9*M39*Faktory!$D$8</f>
        <v>0</v>
      </c>
      <c r="N80" s="297">
        <f>((N70*M39)-(N70*((M39-N39)*(1+$BR$35))))*Faktory!$D$8</f>
        <v>0</v>
      </c>
      <c r="O80" s="260">
        <f t="shared" si="163"/>
        <v>0</v>
      </c>
      <c r="P80" s="296">
        <f>P9*P39*Faktory!$D$8</f>
        <v>0</v>
      </c>
      <c r="Q80" s="297">
        <f>((Q70*P39)-(Q70*((P39-Q39)*(1+$BR$35))))*Faktory!$D$8</f>
        <v>0</v>
      </c>
      <c r="R80" s="260">
        <f t="shared" si="164"/>
        <v>0</v>
      </c>
      <c r="S80" s="296">
        <f>S9*S39*Faktory!$D$8</f>
        <v>0</v>
      </c>
      <c r="T80" s="297">
        <f>((T70*S39)-(T70*((S39-T39)*(1+$BR$35))))*Faktory!$D$8</f>
        <v>0</v>
      </c>
      <c r="U80" s="260">
        <f t="shared" si="165"/>
        <v>0</v>
      </c>
      <c r="V80" s="296">
        <f>V9*V39*Faktory!$D$8</f>
        <v>0</v>
      </c>
      <c r="W80" s="297">
        <f>((W70*V39)-(W70*((V39-W39)*(1+$BR$35))))*Faktory!$D$8</f>
        <v>0</v>
      </c>
      <c r="X80" s="260">
        <f t="shared" si="166"/>
        <v>0</v>
      </c>
      <c r="Y80" s="296">
        <f>Y9*Y39*Faktory!$D$8</f>
        <v>0</v>
      </c>
      <c r="Z80" s="297">
        <f>((Z70*Y39)-(Z70*((Y39-Z39)*(1+$BR$35))))*Faktory!$D$8</f>
        <v>0</v>
      </c>
      <c r="AA80" s="260">
        <f t="shared" si="167"/>
        <v>0</v>
      </c>
      <c r="AB80" s="296">
        <f>AB9*AB39*Faktory!$D$8</f>
        <v>0</v>
      </c>
      <c r="AC80" s="297">
        <f>((AC70*AB39)-(AC70*((AB39-AC39)*(1+$BR$35))))*Faktory!$D$8</f>
        <v>0</v>
      </c>
      <c r="AD80" s="260">
        <f t="shared" si="168"/>
        <v>0</v>
      </c>
      <c r="AE80" s="296">
        <f>AE9*AE39*Faktory!$D$8</f>
        <v>0</v>
      </c>
      <c r="AF80" s="297">
        <f>((AF70*AE39)-(AF70*((AE39-AF39)*(1+$BR$35))))*Faktory!$D$8</f>
        <v>0</v>
      </c>
      <c r="AG80" s="260">
        <f t="shared" si="169"/>
        <v>0</v>
      </c>
      <c r="AH80" s="296">
        <f>AH9*AH39*Faktory!$D$8</f>
        <v>0</v>
      </c>
      <c r="AI80" s="297">
        <f>((AI70*AH39)-(AI70*((AH39-AI39)*(1+$BR$35))))*Faktory!$D$8</f>
        <v>0</v>
      </c>
      <c r="AJ80" s="260">
        <f t="shared" si="170"/>
        <v>0</v>
      </c>
      <c r="AK80" s="296">
        <f>AK9*AK39*Faktory!$D$8</f>
        <v>0</v>
      </c>
      <c r="AL80" s="297">
        <f>((AL70*AK39)-(AL70*((AK39-AL39)*(1+$BR$35))))*Faktory!$D$8</f>
        <v>0</v>
      </c>
      <c r="AM80" s="260">
        <f t="shared" si="171"/>
        <v>0</v>
      </c>
      <c r="AN80" s="296">
        <f>AN9*AN39*Faktory!$D$8</f>
        <v>0</v>
      </c>
      <c r="AO80" s="297">
        <f>((AO70*AN39)-(AO70*((AN39-AO39)*(1+$BR$35))))*Faktory!$D$8</f>
        <v>0</v>
      </c>
      <c r="AP80" s="260">
        <f t="shared" si="172"/>
        <v>0</v>
      </c>
      <c r="AQ80" s="296">
        <f>AQ9*AQ39*Faktory!$D$8</f>
        <v>0</v>
      </c>
      <c r="AR80" s="297">
        <f>((AR70*AQ39)-(AR70*((AQ39-AR39)*(1+$BR$35))))*Faktory!$D$8</f>
        <v>0</v>
      </c>
      <c r="AS80" s="260">
        <f t="shared" si="173"/>
        <v>0</v>
      </c>
      <c r="AT80" s="296">
        <f>AT9*AT39*Faktory!$D$8</f>
        <v>0</v>
      </c>
      <c r="AU80" s="297">
        <f>((AU70*AT39)-(AU70*((AT39-AU39)*(1+$BR$35))))*Faktory!$D$8</f>
        <v>0</v>
      </c>
      <c r="AV80" s="260">
        <f t="shared" si="174"/>
        <v>0</v>
      </c>
      <c r="AW80" s="296">
        <f>AW9*AW39*Faktory!$D$8</f>
        <v>0</v>
      </c>
      <c r="AX80" s="297">
        <f>((AX70*AW39)-(AX70*((AW39-AX39)*(1+$BR$35))))*Faktory!$D$8</f>
        <v>0</v>
      </c>
      <c r="AY80" s="260">
        <f t="shared" si="175"/>
        <v>0</v>
      </c>
      <c r="AZ80" s="296">
        <f>AZ9*AZ39*Faktory!$D$8</f>
        <v>0</v>
      </c>
      <c r="BA80" s="297">
        <f>((BA70*AZ39)-(BA70*((AZ39-BA39)*(1+$BR$35))))*Faktory!$D$8</f>
        <v>0</v>
      </c>
      <c r="BB80" s="260">
        <f t="shared" si="176"/>
        <v>0</v>
      </c>
      <c r="BC80" s="296">
        <f>BC9*BC39*Faktory!$D$8</f>
        <v>0</v>
      </c>
      <c r="BD80" s="297">
        <f>((BD70*BC39)-(BD70*((BC39-BD39)*(1+$BR$35))))*Faktory!$D$8</f>
        <v>0</v>
      </c>
      <c r="BE80" s="260">
        <f t="shared" si="177"/>
        <v>0</v>
      </c>
      <c r="BF80" s="296">
        <f>BF9*BF39*Faktory!$D$8</f>
        <v>0</v>
      </c>
      <c r="BG80" s="297">
        <f>((BG70*BF39)-(BG70*((BF39-BG39)*(1+$BR$35))))*Faktory!$D$8</f>
        <v>0</v>
      </c>
      <c r="BH80" s="260">
        <f t="shared" si="178"/>
        <v>0</v>
      </c>
      <c r="BI80" s="296">
        <f>BI9*BI39*Faktory!$D$8</f>
        <v>0</v>
      </c>
      <c r="BJ80" s="297">
        <f>((BJ70*BI39)-(BJ70*((BI39-BJ39)*(1+$BR$35))))*Faktory!$D$8</f>
        <v>0</v>
      </c>
      <c r="BK80" s="260">
        <f t="shared" si="179"/>
        <v>0</v>
      </c>
      <c r="BL80" s="296">
        <f>BL9*BL39*Faktory!$D$8</f>
        <v>0</v>
      </c>
      <c r="BM80" s="297">
        <f>((BM70*BL39)-(BM70*((BL39-BM39)*(1+$BR$35))))*Faktory!$D$8</f>
        <v>0</v>
      </c>
      <c r="BN80" s="260">
        <f t="shared" si="180"/>
        <v>0</v>
      </c>
      <c r="BO80" s="296">
        <f>BO9*BO39*Faktory!$D$8</f>
        <v>0</v>
      </c>
      <c r="BP80" s="297">
        <f>((BP70*BO39)-(BP70*((BO39-BP39)*(1+$BR$35))))*Faktory!$D$8</f>
        <v>0</v>
      </c>
      <c r="BQ80" s="260">
        <f t="shared" si="181"/>
        <v>0</v>
      </c>
    </row>
    <row r="81" spans="1:69">
      <c r="A81" s="780"/>
      <c r="B81" s="782"/>
      <c r="C81" s="288" t="s">
        <v>169</v>
      </c>
      <c r="D81" s="289">
        <f t="shared" si="158"/>
        <v>0</v>
      </c>
      <c r="E81" s="290">
        <f t="shared" si="159"/>
        <v>0</v>
      </c>
      <c r="F81" s="291">
        <f t="shared" si="160"/>
        <v>0</v>
      </c>
      <c r="G81" s="296">
        <f>G10*G40*Faktory!$D$8</f>
        <v>0</v>
      </c>
      <c r="H81" s="297">
        <f>((H71*G40)-(H71*((G40-H40)*(1+$BR$35))))*Faktory!$D$8</f>
        <v>0</v>
      </c>
      <c r="I81" s="260">
        <f t="shared" si="161"/>
        <v>0</v>
      </c>
      <c r="J81" s="296">
        <f>J10*J40*Faktory!$D$8</f>
        <v>0</v>
      </c>
      <c r="K81" s="297">
        <f>((K71*J40)-(K71*((J40-K40)*(1+$BR$35))))*Faktory!$D$8</f>
        <v>0</v>
      </c>
      <c r="L81" s="260">
        <f t="shared" si="162"/>
        <v>0</v>
      </c>
      <c r="M81" s="296">
        <f>M10*M40*Faktory!$D$8</f>
        <v>0</v>
      </c>
      <c r="N81" s="297">
        <f>((N71*M40)-(N71*((M40-N40)*(1+$BR$35))))*Faktory!$D$8</f>
        <v>0</v>
      </c>
      <c r="O81" s="260">
        <f t="shared" si="163"/>
        <v>0</v>
      </c>
      <c r="P81" s="296">
        <f>P10*P40*Faktory!$D$8</f>
        <v>0</v>
      </c>
      <c r="Q81" s="297">
        <f>((Q71*P40)-(Q71*((P40-Q40)*(1+$BR$35))))*Faktory!$D$8</f>
        <v>0</v>
      </c>
      <c r="R81" s="260">
        <f t="shared" si="164"/>
        <v>0</v>
      </c>
      <c r="S81" s="296">
        <f>S10*S40*Faktory!$D$8</f>
        <v>0</v>
      </c>
      <c r="T81" s="297">
        <f>((T71*S40)-(T71*((S40-T40)*(1+$BR$35))))*Faktory!$D$8</f>
        <v>0</v>
      </c>
      <c r="U81" s="260">
        <f t="shared" si="165"/>
        <v>0</v>
      </c>
      <c r="V81" s="296">
        <f>V10*V40*Faktory!$D$8</f>
        <v>0</v>
      </c>
      <c r="W81" s="297">
        <f>((W71*V40)-(W71*((V40-W40)*(1+$BR$35))))*Faktory!$D$8</f>
        <v>0</v>
      </c>
      <c r="X81" s="260">
        <f t="shared" si="166"/>
        <v>0</v>
      </c>
      <c r="Y81" s="296">
        <f>Y10*Y40*Faktory!$D$8</f>
        <v>0</v>
      </c>
      <c r="Z81" s="297">
        <f>((Z71*Y40)-(Z71*((Y40-Z40)*(1+$BR$35))))*Faktory!$D$8</f>
        <v>0</v>
      </c>
      <c r="AA81" s="260">
        <f t="shared" si="167"/>
        <v>0</v>
      </c>
      <c r="AB81" s="296">
        <f>AB10*AB40*Faktory!$D$8</f>
        <v>0</v>
      </c>
      <c r="AC81" s="297">
        <f>((AC71*AB40)-(AC71*((AB40-AC40)*(1+$BR$35))))*Faktory!$D$8</f>
        <v>0</v>
      </c>
      <c r="AD81" s="260">
        <f t="shared" si="168"/>
        <v>0</v>
      </c>
      <c r="AE81" s="296">
        <f>AE10*AE40*Faktory!$D$8</f>
        <v>0</v>
      </c>
      <c r="AF81" s="297">
        <f>((AF71*AE40)-(AF71*((AE40-AF40)*(1+$BR$35))))*Faktory!$D$8</f>
        <v>0</v>
      </c>
      <c r="AG81" s="260">
        <f t="shared" si="169"/>
        <v>0</v>
      </c>
      <c r="AH81" s="296">
        <f>AH10*AH40*Faktory!$D$8</f>
        <v>0</v>
      </c>
      <c r="AI81" s="297">
        <f>((AI71*AH40)-(AI71*((AH40-AI40)*(1+$BR$35))))*Faktory!$D$8</f>
        <v>0</v>
      </c>
      <c r="AJ81" s="260">
        <f t="shared" si="170"/>
        <v>0</v>
      </c>
      <c r="AK81" s="296">
        <f>AK10*AK40*Faktory!$D$8</f>
        <v>0</v>
      </c>
      <c r="AL81" s="297">
        <f>((AL71*AK40)-(AL71*((AK40-AL40)*(1+$BR$35))))*Faktory!$D$8</f>
        <v>0</v>
      </c>
      <c r="AM81" s="260">
        <f t="shared" si="171"/>
        <v>0</v>
      </c>
      <c r="AN81" s="296">
        <f>AN10*AN40*Faktory!$D$8</f>
        <v>0</v>
      </c>
      <c r="AO81" s="297">
        <f>((AO71*AN40)-(AO71*((AN40-AO40)*(1+$BR$35))))*Faktory!$D$8</f>
        <v>0</v>
      </c>
      <c r="AP81" s="260">
        <f t="shared" si="172"/>
        <v>0</v>
      </c>
      <c r="AQ81" s="296">
        <f>AQ10*AQ40*Faktory!$D$8</f>
        <v>0</v>
      </c>
      <c r="AR81" s="297">
        <f>((AR71*AQ40)-(AR71*((AQ40-AR40)*(1+$BR$35))))*Faktory!$D$8</f>
        <v>0</v>
      </c>
      <c r="AS81" s="260">
        <f t="shared" si="173"/>
        <v>0</v>
      </c>
      <c r="AT81" s="296">
        <f>AT10*AT40*Faktory!$D$8</f>
        <v>0</v>
      </c>
      <c r="AU81" s="297">
        <f>((AU71*AT40)-(AU71*((AT40-AU40)*(1+$BR$35))))*Faktory!$D$8</f>
        <v>0</v>
      </c>
      <c r="AV81" s="260">
        <f t="shared" si="174"/>
        <v>0</v>
      </c>
      <c r="AW81" s="296">
        <f>AW10*AW40*Faktory!$D$8</f>
        <v>0</v>
      </c>
      <c r="AX81" s="297">
        <f>((AX71*AW40)-(AX71*((AW40-AX40)*(1+$BR$35))))*Faktory!$D$8</f>
        <v>0</v>
      </c>
      <c r="AY81" s="260">
        <f t="shared" si="175"/>
        <v>0</v>
      </c>
      <c r="AZ81" s="296">
        <f>AZ10*AZ40*Faktory!$D$8</f>
        <v>0</v>
      </c>
      <c r="BA81" s="297">
        <f>((BA71*AZ40)-(BA71*((AZ40-BA40)*(1+$BR$35))))*Faktory!$D$8</f>
        <v>0</v>
      </c>
      <c r="BB81" s="260">
        <f t="shared" si="176"/>
        <v>0</v>
      </c>
      <c r="BC81" s="296">
        <f>BC10*BC40*Faktory!$D$8</f>
        <v>0</v>
      </c>
      <c r="BD81" s="297">
        <f>((BD71*BC40)-(BD71*((BC40-BD40)*(1+$BR$35))))*Faktory!$D$8</f>
        <v>0</v>
      </c>
      <c r="BE81" s="260">
        <f t="shared" si="177"/>
        <v>0</v>
      </c>
      <c r="BF81" s="296">
        <f>BF10*BF40*Faktory!$D$8</f>
        <v>0</v>
      </c>
      <c r="BG81" s="297">
        <f>((BG71*BF40)-(BG71*((BF40-BG40)*(1+$BR$35))))*Faktory!$D$8</f>
        <v>0</v>
      </c>
      <c r="BH81" s="260">
        <f t="shared" si="178"/>
        <v>0</v>
      </c>
      <c r="BI81" s="296">
        <f>BI10*BI40*Faktory!$D$8</f>
        <v>0</v>
      </c>
      <c r="BJ81" s="297">
        <f>((BJ71*BI40)-(BJ71*((BI40-BJ40)*(1+$BR$35))))*Faktory!$D$8</f>
        <v>0</v>
      </c>
      <c r="BK81" s="260">
        <f t="shared" si="179"/>
        <v>0</v>
      </c>
      <c r="BL81" s="296">
        <f>BL10*BL40*Faktory!$D$8</f>
        <v>0</v>
      </c>
      <c r="BM81" s="297">
        <f>((BM71*BL40)-(BM71*((BL40-BM40)*(1+$BR$35))))*Faktory!$D$8</f>
        <v>0</v>
      </c>
      <c r="BN81" s="260">
        <f t="shared" si="180"/>
        <v>0</v>
      </c>
      <c r="BO81" s="296">
        <f>BO10*BO40*Faktory!$D$8</f>
        <v>0</v>
      </c>
      <c r="BP81" s="297">
        <f>((BP71*BO40)-(BP71*((BO40-BP40)*(1+$BR$35))))*Faktory!$D$8</f>
        <v>0</v>
      </c>
      <c r="BQ81" s="260">
        <f t="shared" si="181"/>
        <v>0</v>
      </c>
    </row>
    <row r="82" spans="1:69">
      <c r="A82" s="780"/>
      <c r="B82" s="782"/>
      <c r="C82" s="288" t="s">
        <v>170</v>
      </c>
      <c r="D82" s="289">
        <f t="shared" si="158"/>
        <v>0</v>
      </c>
      <c r="E82" s="290">
        <f t="shared" si="159"/>
        <v>0</v>
      </c>
      <c r="F82" s="291">
        <f t="shared" si="160"/>
        <v>0</v>
      </c>
      <c r="G82" s="296">
        <f>G11*G41*Faktory!$D$8</f>
        <v>0</v>
      </c>
      <c r="H82" s="297">
        <f>((H72*G41)-(H72*((G41-H41)*(1+$BR$35))))*Faktory!$D$8</f>
        <v>0</v>
      </c>
      <c r="I82" s="260">
        <f t="shared" si="161"/>
        <v>0</v>
      </c>
      <c r="J82" s="296">
        <f>J11*J41*Faktory!$D$8</f>
        <v>0</v>
      </c>
      <c r="K82" s="297">
        <f>((K72*J41)-(K72*((J41-K41)*(1+$BR$35))))*Faktory!$D$8</f>
        <v>0</v>
      </c>
      <c r="L82" s="260">
        <f t="shared" si="162"/>
        <v>0</v>
      </c>
      <c r="M82" s="296">
        <f>M11*M41*Faktory!$D$8</f>
        <v>0</v>
      </c>
      <c r="N82" s="297">
        <f>((N72*M41)-(N72*((M41-N41)*(1+$BR$35))))*Faktory!$D$8</f>
        <v>0</v>
      </c>
      <c r="O82" s="260">
        <f t="shared" si="163"/>
        <v>0</v>
      </c>
      <c r="P82" s="296">
        <f>P11*P41*Faktory!$D$8</f>
        <v>0</v>
      </c>
      <c r="Q82" s="297">
        <f>((Q72*P41)-(Q72*((P41-Q41)*(1+$BR$35))))*Faktory!$D$8</f>
        <v>0</v>
      </c>
      <c r="R82" s="260">
        <f t="shared" si="164"/>
        <v>0</v>
      </c>
      <c r="S82" s="296">
        <f>S11*S41*Faktory!$D$8</f>
        <v>0</v>
      </c>
      <c r="T82" s="297">
        <f>((T72*S41)-(T72*((S41-T41)*(1+$BR$35))))*Faktory!$D$8</f>
        <v>0</v>
      </c>
      <c r="U82" s="260">
        <f t="shared" si="165"/>
        <v>0</v>
      </c>
      <c r="V82" s="296">
        <f>V11*V41*Faktory!$D$8</f>
        <v>0</v>
      </c>
      <c r="W82" s="297">
        <f>((W72*V41)-(W72*((V41-W41)*(1+$BR$35))))*Faktory!$D$8</f>
        <v>0</v>
      </c>
      <c r="X82" s="260">
        <f t="shared" si="166"/>
        <v>0</v>
      </c>
      <c r="Y82" s="296">
        <f>Y11*Y41*Faktory!$D$8</f>
        <v>0</v>
      </c>
      <c r="Z82" s="297">
        <f>((Z72*Y41)-(Z72*((Y41-Z41)*(1+$BR$35))))*Faktory!$D$8</f>
        <v>0</v>
      </c>
      <c r="AA82" s="260">
        <f t="shared" si="167"/>
        <v>0</v>
      </c>
      <c r="AB82" s="296">
        <f>AB11*AB41*Faktory!$D$8</f>
        <v>0</v>
      </c>
      <c r="AC82" s="297">
        <f>((AC72*AB41)-(AC72*((AB41-AC41)*(1+$BR$35))))*Faktory!$D$8</f>
        <v>0</v>
      </c>
      <c r="AD82" s="260">
        <f t="shared" si="168"/>
        <v>0</v>
      </c>
      <c r="AE82" s="296">
        <f>AE11*AE41*Faktory!$D$8</f>
        <v>0</v>
      </c>
      <c r="AF82" s="297">
        <f>((AF72*AE41)-(AF72*((AE41-AF41)*(1+$BR$35))))*Faktory!$D$8</f>
        <v>0</v>
      </c>
      <c r="AG82" s="260">
        <f t="shared" si="169"/>
        <v>0</v>
      </c>
      <c r="AH82" s="296">
        <f>AH11*AH41*Faktory!$D$8</f>
        <v>0</v>
      </c>
      <c r="AI82" s="297">
        <f>((AI72*AH41)-(AI72*((AH41-AI41)*(1+$BR$35))))*Faktory!$D$8</f>
        <v>0</v>
      </c>
      <c r="AJ82" s="260">
        <f t="shared" si="170"/>
        <v>0</v>
      </c>
      <c r="AK82" s="296">
        <f>AK11*AK41*Faktory!$D$8</f>
        <v>0</v>
      </c>
      <c r="AL82" s="297">
        <f>((AL72*AK41)-(AL72*((AK41-AL41)*(1+$BR$35))))*Faktory!$D$8</f>
        <v>0</v>
      </c>
      <c r="AM82" s="260">
        <f t="shared" si="171"/>
        <v>0</v>
      </c>
      <c r="AN82" s="296">
        <f>AN11*AN41*Faktory!$D$8</f>
        <v>0</v>
      </c>
      <c r="AO82" s="297">
        <f>((AO72*AN41)-(AO72*((AN41-AO41)*(1+$BR$35))))*Faktory!$D$8</f>
        <v>0</v>
      </c>
      <c r="AP82" s="260">
        <f t="shared" si="172"/>
        <v>0</v>
      </c>
      <c r="AQ82" s="296">
        <f>AQ11*AQ41*Faktory!$D$8</f>
        <v>0</v>
      </c>
      <c r="AR82" s="297">
        <f>((AR72*AQ41)-(AR72*((AQ41-AR41)*(1+$BR$35))))*Faktory!$D$8</f>
        <v>0</v>
      </c>
      <c r="AS82" s="260">
        <f t="shared" si="173"/>
        <v>0</v>
      </c>
      <c r="AT82" s="296">
        <f>AT11*AT41*Faktory!$D$8</f>
        <v>0</v>
      </c>
      <c r="AU82" s="297">
        <f>((AU72*AT41)-(AU72*((AT41-AU41)*(1+$BR$35))))*Faktory!$D$8</f>
        <v>0</v>
      </c>
      <c r="AV82" s="260">
        <f t="shared" si="174"/>
        <v>0</v>
      </c>
      <c r="AW82" s="296">
        <f>AW11*AW41*Faktory!$D$8</f>
        <v>0</v>
      </c>
      <c r="AX82" s="297">
        <f>((AX72*AW41)-(AX72*((AW41-AX41)*(1+$BR$35))))*Faktory!$D$8</f>
        <v>0</v>
      </c>
      <c r="AY82" s="260">
        <f t="shared" si="175"/>
        <v>0</v>
      </c>
      <c r="AZ82" s="296">
        <f>AZ11*AZ41*Faktory!$D$8</f>
        <v>0</v>
      </c>
      <c r="BA82" s="297">
        <f>((BA72*AZ41)-(BA72*((AZ41-BA41)*(1+$BR$35))))*Faktory!$D$8</f>
        <v>0</v>
      </c>
      <c r="BB82" s="260">
        <f t="shared" si="176"/>
        <v>0</v>
      </c>
      <c r="BC82" s="296">
        <f>BC11*BC41*Faktory!$D$8</f>
        <v>0</v>
      </c>
      <c r="BD82" s="297">
        <f>((BD72*BC41)-(BD72*((BC41-BD41)*(1+$BR$35))))*Faktory!$D$8</f>
        <v>0</v>
      </c>
      <c r="BE82" s="260">
        <f t="shared" si="177"/>
        <v>0</v>
      </c>
      <c r="BF82" s="296">
        <f>BF11*BF41*Faktory!$D$8</f>
        <v>0</v>
      </c>
      <c r="BG82" s="297">
        <f>((BG72*BF41)-(BG72*((BF41-BG41)*(1+$BR$35))))*Faktory!$D$8</f>
        <v>0</v>
      </c>
      <c r="BH82" s="260">
        <f t="shared" si="178"/>
        <v>0</v>
      </c>
      <c r="BI82" s="296">
        <f>BI11*BI41*Faktory!$D$8</f>
        <v>0</v>
      </c>
      <c r="BJ82" s="297">
        <f>((BJ72*BI41)-(BJ72*((BI41-BJ41)*(1+$BR$35))))*Faktory!$D$8</f>
        <v>0</v>
      </c>
      <c r="BK82" s="260">
        <f t="shared" si="179"/>
        <v>0</v>
      </c>
      <c r="BL82" s="296">
        <f>BL11*BL41*Faktory!$D$8</f>
        <v>0</v>
      </c>
      <c r="BM82" s="297">
        <f>((BM72*BL41)-(BM72*((BL41-BM41)*(1+$BR$35))))*Faktory!$D$8</f>
        <v>0</v>
      </c>
      <c r="BN82" s="260">
        <f t="shared" si="180"/>
        <v>0</v>
      </c>
      <c r="BO82" s="296">
        <f>BO11*BO41*Faktory!$D$8</f>
        <v>0</v>
      </c>
      <c r="BP82" s="297">
        <f>((BP72*BO41)-(BP72*((BO41-BP41)*(1+$BR$35))))*Faktory!$D$8</f>
        <v>0</v>
      </c>
      <c r="BQ82" s="260">
        <f t="shared" si="181"/>
        <v>0</v>
      </c>
    </row>
    <row r="83" spans="1:69">
      <c r="A83" s="780"/>
      <c r="B83" s="782"/>
      <c r="C83" s="288" t="s">
        <v>171</v>
      </c>
      <c r="D83" s="289">
        <f t="shared" si="158"/>
        <v>0</v>
      </c>
      <c r="E83" s="290">
        <f t="shared" si="159"/>
        <v>0</v>
      </c>
      <c r="F83" s="291">
        <f t="shared" si="160"/>
        <v>0</v>
      </c>
      <c r="G83" s="296">
        <f>G12*G42*Faktory!$D$8</f>
        <v>0</v>
      </c>
      <c r="H83" s="297">
        <f>((H73*G42)-(H73*((G42-H42)*(1+$BR$35))))*Faktory!$D$8</f>
        <v>0</v>
      </c>
      <c r="I83" s="260">
        <f t="shared" si="161"/>
        <v>0</v>
      </c>
      <c r="J83" s="296">
        <f>J12*J42*Faktory!$D$8</f>
        <v>0</v>
      </c>
      <c r="K83" s="297">
        <f>((K73*J42)-(K73*((J42-K42)*(1+$BR$35))))*Faktory!$D$8</f>
        <v>0</v>
      </c>
      <c r="L83" s="260">
        <f t="shared" si="162"/>
        <v>0</v>
      </c>
      <c r="M83" s="296">
        <f>M12*M42*Faktory!$D$8</f>
        <v>0</v>
      </c>
      <c r="N83" s="297">
        <f>((N73*M42)-(N73*((M42-N42)*(1+$BR$35))))*Faktory!$D$8</f>
        <v>0</v>
      </c>
      <c r="O83" s="260">
        <f t="shared" si="163"/>
        <v>0</v>
      </c>
      <c r="P83" s="296">
        <f>P12*P42*Faktory!$D$8</f>
        <v>0</v>
      </c>
      <c r="Q83" s="297">
        <f>((Q73*P42)-(Q73*((P42-Q42)*(1+$BR$35))))*Faktory!$D$8</f>
        <v>0</v>
      </c>
      <c r="R83" s="260">
        <f t="shared" si="164"/>
        <v>0</v>
      </c>
      <c r="S83" s="296">
        <f>S12*S42*Faktory!$D$8</f>
        <v>0</v>
      </c>
      <c r="T83" s="297">
        <f>((T73*S42)-(T73*((S42-T42)*(1+$BR$35))))*Faktory!$D$8</f>
        <v>0</v>
      </c>
      <c r="U83" s="260">
        <f t="shared" si="165"/>
        <v>0</v>
      </c>
      <c r="V83" s="296">
        <f>V12*V42*Faktory!$D$8</f>
        <v>0</v>
      </c>
      <c r="W83" s="297">
        <f>((W73*V42)-(W73*((V42-W42)*(1+$BR$35))))*Faktory!$D$8</f>
        <v>0</v>
      </c>
      <c r="X83" s="260">
        <f t="shared" si="166"/>
        <v>0</v>
      </c>
      <c r="Y83" s="296">
        <f>Y12*Y42*Faktory!$D$8</f>
        <v>0</v>
      </c>
      <c r="Z83" s="297">
        <f>((Z73*Y42)-(Z73*((Y42-Z42)*(1+$BR$35))))*Faktory!$D$8</f>
        <v>0</v>
      </c>
      <c r="AA83" s="260">
        <f t="shared" si="167"/>
        <v>0</v>
      </c>
      <c r="AB83" s="296">
        <f>AB12*AB42*Faktory!$D$8</f>
        <v>0</v>
      </c>
      <c r="AC83" s="297">
        <f>((AC73*AB42)-(AC73*((AB42-AC42)*(1+$BR$35))))*Faktory!$D$8</f>
        <v>0</v>
      </c>
      <c r="AD83" s="260">
        <f t="shared" si="168"/>
        <v>0</v>
      </c>
      <c r="AE83" s="296">
        <f>AE12*AE42*Faktory!$D$8</f>
        <v>0</v>
      </c>
      <c r="AF83" s="297">
        <f>((AF73*AE42)-(AF73*((AE42-AF42)*(1+$BR$35))))*Faktory!$D$8</f>
        <v>0</v>
      </c>
      <c r="AG83" s="260">
        <f t="shared" si="169"/>
        <v>0</v>
      </c>
      <c r="AH83" s="296">
        <f>AH12*AH42*Faktory!$D$8</f>
        <v>0</v>
      </c>
      <c r="AI83" s="297">
        <f>((AI73*AH42)-(AI73*((AH42-AI42)*(1+$BR$35))))*Faktory!$D$8</f>
        <v>0</v>
      </c>
      <c r="AJ83" s="260">
        <f t="shared" si="170"/>
        <v>0</v>
      </c>
      <c r="AK83" s="296">
        <f>AK12*AK42*Faktory!$D$8</f>
        <v>0</v>
      </c>
      <c r="AL83" s="297">
        <f>((AL73*AK42)-(AL73*((AK42-AL42)*(1+$BR$35))))*Faktory!$D$8</f>
        <v>0</v>
      </c>
      <c r="AM83" s="260">
        <f t="shared" si="171"/>
        <v>0</v>
      </c>
      <c r="AN83" s="296">
        <f>AN12*AN42*Faktory!$D$8</f>
        <v>0</v>
      </c>
      <c r="AO83" s="297">
        <f>((AO73*AN42)-(AO73*((AN42-AO42)*(1+$BR$35))))*Faktory!$D$8</f>
        <v>0</v>
      </c>
      <c r="AP83" s="260">
        <f t="shared" si="172"/>
        <v>0</v>
      </c>
      <c r="AQ83" s="296">
        <f>AQ12*AQ42*Faktory!$D$8</f>
        <v>0</v>
      </c>
      <c r="AR83" s="297">
        <f>((AR73*AQ42)-(AR73*((AQ42-AR42)*(1+$BR$35))))*Faktory!$D$8</f>
        <v>0</v>
      </c>
      <c r="AS83" s="260">
        <f t="shared" si="173"/>
        <v>0</v>
      </c>
      <c r="AT83" s="296">
        <f>AT12*AT42*Faktory!$D$8</f>
        <v>0</v>
      </c>
      <c r="AU83" s="297">
        <f>((AU73*AT42)-(AU73*((AT42-AU42)*(1+$BR$35))))*Faktory!$D$8</f>
        <v>0</v>
      </c>
      <c r="AV83" s="260">
        <f t="shared" si="174"/>
        <v>0</v>
      </c>
      <c r="AW83" s="296">
        <f>AW12*AW42*Faktory!$D$8</f>
        <v>0</v>
      </c>
      <c r="AX83" s="297">
        <f>((AX73*AW42)-(AX73*((AW42-AX42)*(1+$BR$35))))*Faktory!$D$8</f>
        <v>0</v>
      </c>
      <c r="AY83" s="260">
        <f t="shared" si="175"/>
        <v>0</v>
      </c>
      <c r="AZ83" s="296">
        <f>AZ12*AZ42*Faktory!$D$8</f>
        <v>0</v>
      </c>
      <c r="BA83" s="297">
        <f>((BA73*AZ42)-(BA73*((AZ42-BA42)*(1+$BR$35))))*Faktory!$D$8</f>
        <v>0</v>
      </c>
      <c r="BB83" s="260">
        <f t="shared" si="176"/>
        <v>0</v>
      </c>
      <c r="BC83" s="296">
        <f>BC12*BC42*Faktory!$D$8</f>
        <v>0</v>
      </c>
      <c r="BD83" s="297">
        <f>((BD73*BC42)-(BD73*((BC42-BD42)*(1+$BR$35))))*Faktory!$D$8</f>
        <v>0</v>
      </c>
      <c r="BE83" s="260">
        <f t="shared" si="177"/>
        <v>0</v>
      </c>
      <c r="BF83" s="296">
        <f>BF12*BF42*Faktory!$D$8</f>
        <v>0</v>
      </c>
      <c r="BG83" s="297">
        <f>((BG73*BF42)-(BG73*((BF42-BG42)*(1+$BR$35))))*Faktory!$D$8</f>
        <v>0</v>
      </c>
      <c r="BH83" s="260">
        <f t="shared" si="178"/>
        <v>0</v>
      </c>
      <c r="BI83" s="296">
        <f>BI12*BI42*Faktory!$D$8</f>
        <v>0</v>
      </c>
      <c r="BJ83" s="297">
        <f>((BJ73*BI42)-(BJ73*((BI42-BJ42)*(1+$BR$35))))*Faktory!$D$8</f>
        <v>0</v>
      </c>
      <c r="BK83" s="260">
        <f t="shared" si="179"/>
        <v>0</v>
      </c>
      <c r="BL83" s="296">
        <f>BL12*BL42*Faktory!$D$8</f>
        <v>0</v>
      </c>
      <c r="BM83" s="297">
        <f>((BM73*BL42)-(BM73*((BL42-BM42)*(1+$BR$35))))*Faktory!$D$8</f>
        <v>0</v>
      </c>
      <c r="BN83" s="260">
        <f t="shared" si="180"/>
        <v>0</v>
      </c>
      <c r="BO83" s="296">
        <f>BO12*BO42*Faktory!$D$8</f>
        <v>0</v>
      </c>
      <c r="BP83" s="297">
        <f>((BP73*BO42)-(BP73*((BO42-BP42)*(1+$BR$35))))*Faktory!$D$8</f>
        <v>0</v>
      </c>
      <c r="BQ83" s="260">
        <f t="shared" si="181"/>
        <v>0</v>
      </c>
    </row>
    <row r="84" spans="1:69">
      <c r="A84" s="780"/>
      <c r="B84" s="782"/>
      <c r="C84" s="288" t="s">
        <v>172</v>
      </c>
      <c r="D84" s="289">
        <f t="shared" si="158"/>
        <v>0</v>
      </c>
      <c r="E84" s="290">
        <f t="shared" si="159"/>
        <v>0</v>
      </c>
      <c r="F84" s="291">
        <f t="shared" si="160"/>
        <v>0</v>
      </c>
      <c r="G84" s="296">
        <f>G13*G43*Faktory!$D$8</f>
        <v>0</v>
      </c>
      <c r="H84" s="297">
        <f>((H74*G43)-(H74*((G43-H43)*(1+$BR$35))))*Faktory!$D$8</f>
        <v>0</v>
      </c>
      <c r="I84" s="260">
        <f t="shared" si="161"/>
        <v>0</v>
      </c>
      <c r="J84" s="296">
        <f>J13*J43*Faktory!$D$8</f>
        <v>0</v>
      </c>
      <c r="K84" s="297">
        <f>((K74*J43)-(K74*((J43-K43)*(1+$BR$35))))*Faktory!$D$8</f>
        <v>0</v>
      </c>
      <c r="L84" s="260">
        <f t="shared" si="162"/>
        <v>0</v>
      </c>
      <c r="M84" s="296">
        <f>M13*M43*Faktory!$D$8</f>
        <v>0</v>
      </c>
      <c r="N84" s="297">
        <f>((N74*M43)-(N74*((M43-N43)*(1+$BR$35))))*Faktory!$D$8</f>
        <v>0</v>
      </c>
      <c r="O84" s="260">
        <f t="shared" si="163"/>
        <v>0</v>
      </c>
      <c r="P84" s="296">
        <f>P13*P43*Faktory!$D$8</f>
        <v>0</v>
      </c>
      <c r="Q84" s="297">
        <f>((Q74*P43)-(Q74*((P43-Q43)*(1+$BR$35))))*Faktory!$D$8</f>
        <v>0</v>
      </c>
      <c r="R84" s="260">
        <f t="shared" si="164"/>
        <v>0</v>
      </c>
      <c r="S84" s="296">
        <f>S13*S43*Faktory!$D$8</f>
        <v>0</v>
      </c>
      <c r="T84" s="297">
        <f>((T74*S43)-(T74*((S43-T43)*(1+$BR$35))))*Faktory!$D$8</f>
        <v>0</v>
      </c>
      <c r="U84" s="260">
        <f t="shared" si="165"/>
        <v>0</v>
      </c>
      <c r="V84" s="296">
        <f>V13*V43*Faktory!$D$8</f>
        <v>0</v>
      </c>
      <c r="W84" s="297">
        <f>((W74*V43)-(W74*((V43-W43)*(1+$BR$35))))*Faktory!$D$8</f>
        <v>0</v>
      </c>
      <c r="X84" s="260">
        <f t="shared" si="166"/>
        <v>0</v>
      </c>
      <c r="Y84" s="296">
        <f>Y13*Y43*Faktory!$D$8</f>
        <v>0</v>
      </c>
      <c r="Z84" s="297">
        <f>((Z74*Y43)-(Z74*((Y43-Z43)*(1+$BR$35))))*Faktory!$D$8</f>
        <v>0</v>
      </c>
      <c r="AA84" s="260">
        <f t="shared" si="167"/>
        <v>0</v>
      </c>
      <c r="AB84" s="296">
        <f>AB13*AB43*Faktory!$D$8</f>
        <v>0</v>
      </c>
      <c r="AC84" s="297">
        <f>((AC74*AB43)-(AC74*((AB43-AC43)*(1+$BR$35))))*Faktory!$D$8</f>
        <v>0</v>
      </c>
      <c r="AD84" s="260">
        <f t="shared" si="168"/>
        <v>0</v>
      </c>
      <c r="AE84" s="296">
        <f>AE13*AE43*Faktory!$D$8</f>
        <v>0</v>
      </c>
      <c r="AF84" s="297">
        <f>((AF74*AE43)-(AF74*((AE43-AF43)*(1+$BR$35))))*Faktory!$D$8</f>
        <v>0</v>
      </c>
      <c r="AG84" s="260">
        <f t="shared" si="169"/>
        <v>0</v>
      </c>
      <c r="AH84" s="296">
        <f>AH13*AH43*Faktory!$D$8</f>
        <v>0</v>
      </c>
      <c r="AI84" s="297">
        <f>((AI74*AH43)-(AI74*((AH43-AI43)*(1+$BR$35))))*Faktory!$D$8</f>
        <v>0</v>
      </c>
      <c r="AJ84" s="260">
        <f t="shared" si="170"/>
        <v>0</v>
      </c>
      <c r="AK84" s="296">
        <f>AK13*AK43*Faktory!$D$8</f>
        <v>0</v>
      </c>
      <c r="AL84" s="297">
        <f>((AL74*AK43)-(AL74*((AK43-AL43)*(1+$BR$35))))*Faktory!$D$8</f>
        <v>0</v>
      </c>
      <c r="AM84" s="260">
        <f t="shared" si="171"/>
        <v>0</v>
      </c>
      <c r="AN84" s="296">
        <f>AN13*AN43*Faktory!$D$8</f>
        <v>0</v>
      </c>
      <c r="AO84" s="297">
        <f>((AO74*AN43)-(AO74*((AN43-AO43)*(1+$BR$35))))*Faktory!$D$8</f>
        <v>0</v>
      </c>
      <c r="AP84" s="260">
        <f t="shared" si="172"/>
        <v>0</v>
      </c>
      <c r="AQ84" s="296">
        <f>AQ13*AQ43*Faktory!$D$8</f>
        <v>0</v>
      </c>
      <c r="AR84" s="297">
        <f>((AR74*AQ43)-(AR74*((AQ43-AR43)*(1+$BR$35))))*Faktory!$D$8</f>
        <v>0</v>
      </c>
      <c r="AS84" s="260">
        <f t="shared" si="173"/>
        <v>0</v>
      </c>
      <c r="AT84" s="296">
        <f>AT13*AT43*Faktory!$D$8</f>
        <v>0</v>
      </c>
      <c r="AU84" s="297">
        <f>((AU74*AT43)-(AU74*((AT43-AU43)*(1+$BR$35))))*Faktory!$D$8</f>
        <v>0</v>
      </c>
      <c r="AV84" s="260">
        <f t="shared" si="174"/>
        <v>0</v>
      </c>
      <c r="AW84" s="296">
        <f>AW13*AW43*Faktory!$D$8</f>
        <v>0</v>
      </c>
      <c r="AX84" s="297">
        <f>((AX74*AW43)-(AX74*((AW43-AX43)*(1+$BR$35))))*Faktory!$D$8</f>
        <v>0</v>
      </c>
      <c r="AY84" s="260">
        <f t="shared" si="175"/>
        <v>0</v>
      </c>
      <c r="AZ84" s="296">
        <f>AZ13*AZ43*Faktory!$D$8</f>
        <v>0</v>
      </c>
      <c r="BA84" s="297">
        <f>((BA74*AZ43)-(BA74*((AZ43-BA43)*(1+$BR$35))))*Faktory!$D$8</f>
        <v>0</v>
      </c>
      <c r="BB84" s="260">
        <f t="shared" si="176"/>
        <v>0</v>
      </c>
      <c r="BC84" s="296">
        <f>BC13*BC43*Faktory!$D$8</f>
        <v>0</v>
      </c>
      <c r="BD84" s="297">
        <f>((BD74*BC43)-(BD74*((BC43-BD43)*(1+$BR$35))))*Faktory!$D$8</f>
        <v>0</v>
      </c>
      <c r="BE84" s="260">
        <f t="shared" si="177"/>
        <v>0</v>
      </c>
      <c r="BF84" s="296">
        <f>BF13*BF43*Faktory!$D$8</f>
        <v>0</v>
      </c>
      <c r="BG84" s="297">
        <f>((BG74*BF43)-(BG74*((BF43-BG43)*(1+$BR$35))))*Faktory!$D$8</f>
        <v>0</v>
      </c>
      <c r="BH84" s="260">
        <f t="shared" si="178"/>
        <v>0</v>
      </c>
      <c r="BI84" s="296">
        <f>BI13*BI43*Faktory!$D$8</f>
        <v>0</v>
      </c>
      <c r="BJ84" s="297">
        <f>((BJ74*BI43)-(BJ74*((BI43-BJ43)*(1+$BR$35))))*Faktory!$D$8</f>
        <v>0</v>
      </c>
      <c r="BK84" s="260">
        <f t="shared" si="179"/>
        <v>0</v>
      </c>
      <c r="BL84" s="296">
        <f>BL13*BL43*Faktory!$D$8</f>
        <v>0</v>
      </c>
      <c r="BM84" s="297">
        <f>((BM74*BL43)-(BM74*((BL43-BM43)*(1+$BR$35))))*Faktory!$D$8</f>
        <v>0</v>
      </c>
      <c r="BN84" s="260">
        <f t="shared" si="180"/>
        <v>0</v>
      </c>
      <c r="BO84" s="296">
        <f>BO13*BO43*Faktory!$D$8</f>
        <v>0</v>
      </c>
      <c r="BP84" s="297">
        <f>((BP74*BO43)-(BP74*((BO43-BP43)*(1+$BR$35))))*Faktory!$D$8</f>
        <v>0</v>
      </c>
      <c r="BQ84" s="260">
        <f t="shared" si="181"/>
        <v>0</v>
      </c>
    </row>
    <row r="85" spans="1:69" ht="15.75" thickBot="1">
      <c r="A85" s="781"/>
      <c r="B85" s="783"/>
      <c r="C85" s="298" t="s">
        <v>173</v>
      </c>
      <c r="D85" s="299">
        <f t="shared" si="158"/>
        <v>0</v>
      </c>
      <c r="E85" s="300">
        <f t="shared" si="159"/>
        <v>0</v>
      </c>
      <c r="F85" s="301">
        <f t="shared" si="160"/>
        <v>0</v>
      </c>
      <c r="G85" s="302">
        <f>G14*G44*Faktory!$D$8</f>
        <v>0</v>
      </c>
      <c r="H85" s="303">
        <f>((H75*G44)-(H75*((G44-H44)*(1+$BR$35))))*Faktory!$D$8</f>
        <v>0</v>
      </c>
      <c r="I85" s="265">
        <f t="shared" si="161"/>
        <v>0</v>
      </c>
      <c r="J85" s="302">
        <f>J14*J44*Faktory!$D$8</f>
        <v>0</v>
      </c>
      <c r="K85" s="303">
        <f>((K75*J44)-(K75*((J44-K44)*(1+$BR$35))))*Faktory!$D$8</f>
        <v>0</v>
      </c>
      <c r="L85" s="265">
        <f t="shared" si="162"/>
        <v>0</v>
      </c>
      <c r="M85" s="302">
        <f>M14*M44*Faktory!$D$8</f>
        <v>0</v>
      </c>
      <c r="N85" s="303">
        <f>((N75*M44)-(N75*((M44-N44)*(1+$BR$35))))*Faktory!$D$8</f>
        <v>0</v>
      </c>
      <c r="O85" s="265">
        <f t="shared" si="163"/>
        <v>0</v>
      </c>
      <c r="P85" s="302">
        <f>P14*P44*Faktory!$D$8</f>
        <v>0</v>
      </c>
      <c r="Q85" s="303">
        <f>((Q75*P44)-(Q75*((P44-Q44)*(1+$BR$35))))*Faktory!$D$8</f>
        <v>0</v>
      </c>
      <c r="R85" s="265">
        <f t="shared" si="164"/>
        <v>0</v>
      </c>
      <c r="S85" s="302">
        <f>S14*S44*Faktory!$D$8</f>
        <v>0</v>
      </c>
      <c r="T85" s="303">
        <f>((T75*S44)-(T75*((S44-T44)*(1+$BR$35))))*Faktory!$D$8</f>
        <v>0</v>
      </c>
      <c r="U85" s="265">
        <f t="shared" si="165"/>
        <v>0</v>
      </c>
      <c r="V85" s="302">
        <f>V14*V44*Faktory!$D$8</f>
        <v>0</v>
      </c>
      <c r="W85" s="303">
        <f>((W75*V44)-(W75*((V44-W44)*(1+$BR$35))))*Faktory!$D$8</f>
        <v>0</v>
      </c>
      <c r="X85" s="265">
        <f t="shared" si="166"/>
        <v>0</v>
      </c>
      <c r="Y85" s="302">
        <f>Y14*Y44*Faktory!$D$8</f>
        <v>0</v>
      </c>
      <c r="Z85" s="303">
        <f>((Z75*Y44)-(Z75*((Y44-Z44)*(1+$BR$35))))*Faktory!$D$8</f>
        <v>0</v>
      </c>
      <c r="AA85" s="265">
        <f t="shared" si="167"/>
        <v>0</v>
      </c>
      <c r="AB85" s="302">
        <f>AB14*AB44*Faktory!$D$8</f>
        <v>0</v>
      </c>
      <c r="AC85" s="303">
        <f>((AC75*AB44)-(AC75*((AB44-AC44)*(1+$BR$35))))*Faktory!$D$8</f>
        <v>0</v>
      </c>
      <c r="AD85" s="265">
        <f t="shared" si="168"/>
        <v>0</v>
      </c>
      <c r="AE85" s="302">
        <f>AE14*AE44*Faktory!$D$8</f>
        <v>0</v>
      </c>
      <c r="AF85" s="303">
        <f>((AF75*AE44)-(AF75*((AE44-AF44)*(1+$BR$35))))*Faktory!$D$8</f>
        <v>0</v>
      </c>
      <c r="AG85" s="265">
        <f t="shared" si="169"/>
        <v>0</v>
      </c>
      <c r="AH85" s="302">
        <f>AH14*AH44*Faktory!$D$8</f>
        <v>0</v>
      </c>
      <c r="AI85" s="303">
        <f>((AI75*AH44)-(AI75*((AH44-AI44)*(1+$BR$35))))*Faktory!$D$8</f>
        <v>0</v>
      </c>
      <c r="AJ85" s="265">
        <f t="shared" si="170"/>
        <v>0</v>
      </c>
      <c r="AK85" s="302">
        <f>AK14*AK44*Faktory!$D$8</f>
        <v>0</v>
      </c>
      <c r="AL85" s="303">
        <f>((AL75*AK44)-(AL75*((AK44-AL44)*(1+$BR$35))))*Faktory!$D$8</f>
        <v>0</v>
      </c>
      <c r="AM85" s="265">
        <f t="shared" si="171"/>
        <v>0</v>
      </c>
      <c r="AN85" s="302">
        <f>AN14*AN44*Faktory!$D$8</f>
        <v>0</v>
      </c>
      <c r="AO85" s="303">
        <f>((AO75*AN44)-(AO75*((AN44-AO44)*(1+$BR$35))))*Faktory!$D$8</f>
        <v>0</v>
      </c>
      <c r="AP85" s="265">
        <f t="shared" si="172"/>
        <v>0</v>
      </c>
      <c r="AQ85" s="302">
        <f>AQ14*AQ44*Faktory!$D$8</f>
        <v>0</v>
      </c>
      <c r="AR85" s="303">
        <f>((AR75*AQ44)-(AR75*((AQ44-AR44)*(1+$BR$35))))*Faktory!$D$8</f>
        <v>0</v>
      </c>
      <c r="AS85" s="265">
        <f t="shared" si="173"/>
        <v>0</v>
      </c>
      <c r="AT85" s="302">
        <f>AT14*AT44*Faktory!$D$8</f>
        <v>0</v>
      </c>
      <c r="AU85" s="303">
        <f>((AU75*AT44)-(AU75*((AT44-AU44)*(1+$BR$35))))*Faktory!$D$8</f>
        <v>0</v>
      </c>
      <c r="AV85" s="265">
        <f t="shared" si="174"/>
        <v>0</v>
      </c>
      <c r="AW85" s="302">
        <f>AW14*AW44*Faktory!$D$8</f>
        <v>0</v>
      </c>
      <c r="AX85" s="303">
        <f>((AX75*AW44)-(AX75*((AW44-AX44)*(1+$BR$35))))*Faktory!$D$8</f>
        <v>0</v>
      </c>
      <c r="AY85" s="265">
        <f t="shared" si="175"/>
        <v>0</v>
      </c>
      <c r="AZ85" s="302">
        <f>AZ14*AZ44*Faktory!$D$8</f>
        <v>0</v>
      </c>
      <c r="BA85" s="303">
        <f>((BA75*AZ44)-(BA75*((AZ44-BA44)*(1+$BR$35))))*Faktory!$D$8</f>
        <v>0</v>
      </c>
      <c r="BB85" s="265">
        <f t="shared" si="176"/>
        <v>0</v>
      </c>
      <c r="BC85" s="302">
        <f>BC14*BC44*Faktory!$D$8</f>
        <v>0</v>
      </c>
      <c r="BD85" s="303">
        <f>((BD75*BC44)-(BD75*((BC44-BD44)*(1+$BR$35))))*Faktory!$D$8</f>
        <v>0</v>
      </c>
      <c r="BE85" s="265">
        <f t="shared" si="177"/>
        <v>0</v>
      </c>
      <c r="BF85" s="302">
        <f>BF14*BF44*Faktory!$D$8</f>
        <v>0</v>
      </c>
      <c r="BG85" s="303">
        <f>((BG75*BF44)-(BG75*((BF44-BG44)*(1+$BR$35))))*Faktory!$D$8</f>
        <v>0</v>
      </c>
      <c r="BH85" s="265">
        <f t="shared" si="178"/>
        <v>0</v>
      </c>
      <c r="BI85" s="302">
        <f>BI14*BI44*Faktory!$D$8</f>
        <v>0</v>
      </c>
      <c r="BJ85" s="303">
        <f>((BJ75*BI44)-(BJ75*((BI44-BJ44)*(1+$BR$35))))*Faktory!$D$8</f>
        <v>0</v>
      </c>
      <c r="BK85" s="265">
        <f t="shared" si="179"/>
        <v>0</v>
      </c>
      <c r="BL85" s="302">
        <f>BL14*BL44*Faktory!$D$8</f>
        <v>0</v>
      </c>
      <c r="BM85" s="303">
        <f>((BM75*BL44)-(BM75*((BL44-BM44)*(1+$BR$35))))*Faktory!$D$8</f>
        <v>0</v>
      </c>
      <c r="BN85" s="265">
        <f t="shared" si="180"/>
        <v>0</v>
      </c>
      <c r="BO85" s="302">
        <f>BO14*BO44*Faktory!$D$8</f>
        <v>0</v>
      </c>
      <c r="BP85" s="303">
        <f>((BP75*BO44)-(BP75*((BO44-BP44)*(1+$BR$35))))*Faktory!$D$8</f>
        <v>0</v>
      </c>
      <c r="BQ85" s="265">
        <f t="shared" si="181"/>
        <v>0</v>
      </c>
    </row>
    <row r="86" spans="1:69">
      <c r="A86" s="780" t="s">
        <v>219</v>
      </c>
      <c r="B86" s="782" t="s">
        <v>220</v>
      </c>
      <c r="C86" s="288" t="s">
        <v>164</v>
      </c>
      <c r="D86" s="289">
        <f t="shared" si="158"/>
        <v>0</v>
      </c>
      <c r="E86" s="290">
        <f t="shared" si="159"/>
        <v>0</v>
      </c>
      <c r="F86" s="291">
        <f t="shared" si="160"/>
        <v>0</v>
      </c>
      <c r="G86" s="306">
        <f t="shared" ref="G86:H95" si="182">(G5*G35)/12/21/7.5</f>
        <v>0</v>
      </c>
      <c r="H86" s="307">
        <f t="shared" si="182"/>
        <v>0</v>
      </c>
      <c r="I86" s="308">
        <f t="shared" si="161"/>
        <v>0</v>
      </c>
      <c r="J86" s="306">
        <f t="shared" ref="J86:K86" si="183">(J5*J35)/12/21/7.5</f>
        <v>0</v>
      </c>
      <c r="K86" s="307">
        <f t="shared" si="183"/>
        <v>0</v>
      </c>
      <c r="L86" s="308">
        <f t="shared" si="162"/>
        <v>0</v>
      </c>
      <c r="M86" s="306">
        <f t="shared" ref="M86:N86" si="184">(M5*M35)/12/21/7.5</f>
        <v>0</v>
      </c>
      <c r="N86" s="307">
        <f t="shared" si="184"/>
        <v>0</v>
      </c>
      <c r="O86" s="308">
        <f t="shared" si="163"/>
        <v>0</v>
      </c>
      <c r="P86" s="306">
        <f t="shared" ref="P86:Q86" si="185">(P5*P35)/12/21/7.5</f>
        <v>0</v>
      </c>
      <c r="Q86" s="307">
        <f t="shared" si="185"/>
        <v>0</v>
      </c>
      <c r="R86" s="308">
        <f t="shared" si="164"/>
        <v>0</v>
      </c>
      <c r="S86" s="306">
        <f t="shared" ref="S86:T86" si="186">(S5*S35)/12/21/7.5</f>
        <v>0</v>
      </c>
      <c r="T86" s="307">
        <f t="shared" si="186"/>
        <v>0</v>
      </c>
      <c r="U86" s="308">
        <f t="shared" si="165"/>
        <v>0</v>
      </c>
      <c r="V86" s="306">
        <f t="shared" ref="V86:W86" si="187">(V5*V35)/12/21/7.5</f>
        <v>0</v>
      </c>
      <c r="W86" s="307">
        <f t="shared" si="187"/>
        <v>0</v>
      </c>
      <c r="X86" s="308">
        <f t="shared" si="166"/>
        <v>0</v>
      </c>
      <c r="Y86" s="306">
        <f t="shared" ref="Y86:Z86" si="188">(Y5*Y35)/12/21/7.5</f>
        <v>0</v>
      </c>
      <c r="Z86" s="307">
        <f t="shared" si="188"/>
        <v>0</v>
      </c>
      <c r="AA86" s="308">
        <f t="shared" si="167"/>
        <v>0</v>
      </c>
      <c r="AB86" s="306">
        <f t="shared" ref="AB86:AC86" si="189">(AB5*AB35)/12/21/7.5</f>
        <v>0</v>
      </c>
      <c r="AC86" s="307">
        <f t="shared" si="189"/>
        <v>0</v>
      </c>
      <c r="AD86" s="308">
        <f t="shared" si="168"/>
        <v>0</v>
      </c>
      <c r="AE86" s="306">
        <f t="shared" ref="AE86:AF86" si="190">(AE5*AE35)/12/21/7.5</f>
        <v>0</v>
      </c>
      <c r="AF86" s="307">
        <f t="shared" si="190"/>
        <v>0</v>
      </c>
      <c r="AG86" s="308">
        <f t="shared" si="169"/>
        <v>0</v>
      </c>
      <c r="AH86" s="306">
        <f t="shared" ref="AH86:AI86" si="191">(AH5*AH35)/12/21/7.5</f>
        <v>0</v>
      </c>
      <c r="AI86" s="307">
        <f t="shared" si="191"/>
        <v>0</v>
      </c>
      <c r="AJ86" s="308">
        <f t="shared" si="170"/>
        <v>0</v>
      </c>
      <c r="AK86" s="306">
        <f t="shared" ref="AK86:AL86" si="192">(AK5*AK35)/12/21/7.5</f>
        <v>0</v>
      </c>
      <c r="AL86" s="307">
        <f t="shared" si="192"/>
        <v>0</v>
      </c>
      <c r="AM86" s="308">
        <f t="shared" si="171"/>
        <v>0</v>
      </c>
      <c r="AN86" s="306">
        <f t="shared" ref="AN86:AO86" si="193">(AN5*AN35)/12/21/7.5</f>
        <v>0</v>
      </c>
      <c r="AO86" s="307">
        <f t="shared" si="193"/>
        <v>0</v>
      </c>
      <c r="AP86" s="308">
        <f t="shared" si="172"/>
        <v>0</v>
      </c>
      <c r="AQ86" s="306">
        <f t="shared" ref="AQ86:AR86" si="194">(AQ5*AQ35)/12/21/7.5</f>
        <v>0</v>
      </c>
      <c r="AR86" s="307">
        <f t="shared" si="194"/>
        <v>0</v>
      </c>
      <c r="AS86" s="308">
        <f t="shared" si="173"/>
        <v>0</v>
      </c>
      <c r="AT86" s="306">
        <f t="shared" ref="AT86:AU86" si="195">(AT5*AT35)/12/21/7.5</f>
        <v>0</v>
      </c>
      <c r="AU86" s="307">
        <f t="shared" si="195"/>
        <v>0</v>
      </c>
      <c r="AV86" s="308">
        <f t="shared" si="174"/>
        <v>0</v>
      </c>
      <c r="AW86" s="306">
        <f t="shared" ref="AW86:AX86" si="196">(AW5*AW35)/12/21/7.5</f>
        <v>0</v>
      </c>
      <c r="AX86" s="307">
        <f t="shared" si="196"/>
        <v>0</v>
      </c>
      <c r="AY86" s="308">
        <f t="shared" si="175"/>
        <v>0</v>
      </c>
      <c r="AZ86" s="306">
        <f t="shared" ref="AZ86:BA86" si="197">(AZ5*AZ35)/12/21/7.5</f>
        <v>0</v>
      </c>
      <c r="BA86" s="307">
        <f t="shared" si="197"/>
        <v>0</v>
      </c>
      <c r="BB86" s="308">
        <f t="shared" si="176"/>
        <v>0</v>
      </c>
      <c r="BC86" s="306">
        <f t="shared" ref="BC86:BD86" si="198">(BC5*BC35)/12/21/7.5</f>
        <v>0</v>
      </c>
      <c r="BD86" s="307">
        <f t="shared" si="198"/>
        <v>0</v>
      </c>
      <c r="BE86" s="308">
        <f t="shared" si="177"/>
        <v>0</v>
      </c>
      <c r="BF86" s="306">
        <f t="shared" ref="BF86:BG86" si="199">(BF5*BF35)/12/21/7.5</f>
        <v>0</v>
      </c>
      <c r="BG86" s="307">
        <f t="shared" si="199"/>
        <v>0</v>
      </c>
      <c r="BH86" s="308">
        <f t="shared" si="178"/>
        <v>0</v>
      </c>
      <c r="BI86" s="306">
        <f t="shared" ref="BI86:BJ95" si="200">(BI5*BI35)/12/21/7.5</f>
        <v>0</v>
      </c>
      <c r="BJ86" s="307">
        <f t="shared" si="200"/>
        <v>0</v>
      </c>
      <c r="BK86" s="308">
        <f t="shared" si="179"/>
        <v>0</v>
      </c>
      <c r="BL86" s="306">
        <f t="shared" ref="BL86:BM95" si="201">(BL5*BL35)/12/21/7.5</f>
        <v>0</v>
      </c>
      <c r="BM86" s="307">
        <f t="shared" si="201"/>
        <v>0</v>
      </c>
      <c r="BN86" s="308">
        <f t="shared" si="180"/>
        <v>0</v>
      </c>
      <c r="BO86" s="306">
        <f t="shared" ref="BO86:BP95" si="202">(BO5*BO35)/12/21/7.5</f>
        <v>0</v>
      </c>
      <c r="BP86" s="307">
        <f t="shared" si="202"/>
        <v>0</v>
      </c>
      <c r="BQ86" s="308">
        <f t="shared" si="181"/>
        <v>0</v>
      </c>
    </row>
    <row r="87" spans="1:69">
      <c r="A87" s="780"/>
      <c r="B87" s="782"/>
      <c r="C87" s="288" t="s">
        <v>165</v>
      </c>
      <c r="D87" s="289">
        <f t="shared" si="158"/>
        <v>0</v>
      </c>
      <c r="E87" s="290">
        <f t="shared" si="159"/>
        <v>0</v>
      </c>
      <c r="F87" s="291">
        <f t="shared" si="160"/>
        <v>0</v>
      </c>
      <c r="G87" s="309">
        <f t="shared" si="182"/>
        <v>0</v>
      </c>
      <c r="H87" s="310">
        <f t="shared" si="182"/>
        <v>0</v>
      </c>
      <c r="I87" s="311">
        <f t="shared" si="161"/>
        <v>0</v>
      </c>
      <c r="J87" s="309">
        <f t="shared" ref="J87:K87" si="203">(J6*J36)/12/21/7.5</f>
        <v>0</v>
      </c>
      <c r="K87" s="310">
        <f t="shared" si="203"/>
        <v>0</v>
      </c>
      <c r="L87" s="311">
        <f t="shared" si="162"/>
        <v>0</v>
      </c>
      <c r="M87" s="309">
        <f t="shared" ref="M87:N87" si="204">(M6*M36)/12/21/7.5</f>
        <v>0</v>
      </c>
      <c r="N87" s="310">
        <f t="shared" si="204"/>
        <v>0</v>
      </c>
      <c r="O87" s="311">
        <f t="shared" si="163"/>
        <v>0</v>
      </c>
      <c r="P87" s="309">
        <f t="shared" ref="P87:Q87" si="205">(P6*P36)/12/21/7.5</f>
        <v>0</v>
      </c>
      <c r="Q87" s="310">
        <f t="shared" si="205"/>
        <v>0</v>
      </c>
      <c r="R87" s="311">
        <f t="shared" si="164"/>
        <v>0</v>
      </c>
      <c r="S87" s="309">
        <f t="shared" ref="S87:T87" si="206">(S6*S36)/12/21/7.5</f>
        <v>0</v>
      </c>
      <c r="T87" s="310">
        <f t="shared" si="206"/>
        <v>0</v>
      </c>
      <c r="U87" s="311">
        <f t="shared" si="165"/>
        <v>0</v>
      </c>
      <c r="V87" s="309">
        <f t="shared" ref="V87:W87" si="207">(V6*V36)/12/21/7.5</f>
        <v>0</v>
      </c>
      <c r="W87" s="310">
        <f t="shared" si="207"/>
        <v>0</v>
      </c>
      <c r="X87" s="311">
        <f t="shared" si="166"/>
        <v>0</v>
      </c>
      <c r="Y87" s="309">
        <f t="shared" ref="Y87:Z87" si="208">(Y6*Y36)/12/21/7.5</f>
        <v>0</v>
      </c>
      <c r="Z87" s="310">
        <f t="shared" si="208"/>
        <v>0</v>
      </c>
      <c r="AA87" s="311">
        <f t="shared" si="167"/>
        <v>0</v>
      </c>
      <c r="AB87" s="309">
        <f t="shared" ref="AB87:AC87" si="209">(AB6*AB36)/12/21/7.5</f>
        <v>0</v>
      </c>
      <c r="AC87" s="310">
        <f t="shared" si="209"/>
        <v>0</v>
      </c>
      <c r="AD87" s="311">
        <f t="shared" si="168"/>
        <v>0</v>
      </c>
      <c r="AE87" s="309">
        <f t="shared" ref="AE87:AF87" si="210">(AE6*AE36)/12/21/7.5</f>
        <v>0</v>
      </c>
      <c r="AF87" s="310">
        <f t="shared" si="210"/>
        <v>0</v>
      </c>
      <c r="AG87" s="311">
        <f t="shared" si="169"/>
        <v>0</v>
      </c>
      <c r="AH87" s="309">
        <f t="shared" ref="AH87:AI87" si="211">(AH6*AH36)/12/21/7.5</f>
        <v>0</v>
      </c>
      <c r="AI87" s="310">
        <f t="shared" si="211"/>
        <v>0</v>
      </c>
      <c r="AJ87" s="311">
        <f t="shared" si="170"/>
        <v>0</v>
      </c>
      <c r="AK87" s="309">
        <f t="shared" ref="AK87:AL87" si="212">(AK6*AK36)/12/21/7.5</f>
        <v>0</v>
      </c>
      <c r="AL87" s="310">
        <f t="shared" si="212"/>
        <v>0</v>
      </c>
      <c r="AM87" s="311">
        <f t="shared" si="171"/>
        <v>0</v>
      </c>
      <c r="AN87" s="309">
        <f t="shared" ref="AN87:AO87" si="213">(AN6*AN36)/12/21/7.5</f>
        <v>0</v>
      </c>
      <c r="AO87" s="310">
        <f t="shared" si="213"/>
        <v>0</v>
      </c>
      <c r="AP87" s="311">
        <f t="shared" si="172"/>
        <v>0</v>
      </c>
      <c r="AQ87" s="309">
        <f t="shared" ref="AQ87:AR87" si="214">(AQ6*AQ36)/12/21/7.5</f>
        <v>0</v>
      </c>
      <c r="AR87" s="310">
        <f t="shared" si="214"/>
        <v>0</v>
      </c>
      <c r="AS87" s="311">
        <f t="shared" si="173"/>
        <v>0</v>
      </c>
      <c r="AT87" s="309">
        <f t="shared" ref="AT87:AU87" si="215">(AT6*AT36)/12/21/7.5</f>
        <v>0</v>
      </c>
      <c r="AU87" s="310">
        <f t="shared" si="215"/>
        <v>0</v>
      </c>
      <c r="AV87" s="311">
        <f t="shared" si="174"/>
        <v>0</v>
      </c>
      <c r="AW87" s="309">
        <f t="shared" ref="AW87:AX87" si="216">(AW6*AW36)/12/21/7.5</f>
        <v>0</v>
      </c>
      <c r="AX87" s="310">
        <f t="shared" si="216"/>
        <v>0</v>
      </c>
      <c r="AY87" s="311">
        <f t="shared" si="175"/>
        <v>0</v>
      </c>
      <c r="AZ87" s="309">
        <f t="shared" ref="AZ87:BA87" si="217">(AZ6*AZ36)/12/21/7.5</f>
        <v>0</v>
      </c>
      <c r="BA87" s="310">
        <f t="shared" si="217"/>
        <v>0</v>
      </c>
      <c r="BB87" s="311">
        <f t="shared" si="176"/>
        <v>0</v>
      </c>
      <c r="BC87" s="309">
        <f t="shared" ref="BC87:BD87" si="218">(BC6*BC36)/12/21/7.5</f>
        <v>0</v>
      </c>
      <c r="BD87" s="310">
        <f t="shared" si="218"/>
        <v>0</v>
      </c>
      <c r="BE87" s="311">
        <f t="shared" si="177"/>
        <v>0</v>
      </c>
      <c r="BF87" s="309">
        <f t="shared" ref="BF87:BG87" si="219">(BF6*BF36)/12/21/7.5</f>
        <v>0</v>
      </c>
      <c r="BG87" s="310">
        <f t="shared" si="219"/>
        <v>0</v>
      </c>
      <c r="BH87" s="311">
        <f t="shared" si="178"/>
        <v>0</v>
      </c>
      <c r="BI87" s="309">
        <f t="shared" si="200"/>
        <v>0</v>
      </c>
      <c r="BJ87" s="310">
        <f t="shared" si="200"/>
        <v>0</v>
      </c>
      <c r="BK87" s="311">
        <f t="shared" si="179"/>
        <v>0</v>
      </c>
      <c r="BL87" s="309">
        <f t="shared" si="201"/>
        <v>0</v>
      </c>
      <c r="BM87" s="310">
        <f t="shared" si="201"/>
        <v>0</v>
      </c>
      <c r="BN87" s="311">
        <f t="shared" si="180"/>
        <v>0</v>
      </c>
      <c r="BO87" s="309">
        <f t="shared" si="202"/>
        <v>0</v>
      </c>
      <c r="BP87" s="310">
        <f t="shared" si="202"/>
        <v>0</v>
      </c>
      <c r="BQ87" s="311">
        <f t="shared" si="181"/>
        <v>0</v>
      </c>
    </row>
    <row r="88" spans="1:69">
      <c r="A88" s="780"/>
      <c r="B88" s="782"/>
      <c r="C88" s="288" t="s">
        <v>166</v>
      </c>
      <c r="D88" s="289">
        <f t="shared" si="158"/>
        <v>0</v>
      </c>
      <c r="E88" s="290">
        <f t="shared" si="159"/>
        <v>0</v>
      </c>
      <c r="F88" s="291" t="e">
        <f t="shared" si="160"/>
        <v>#VALUE!</v>
      </c>
      <c r="G88" s="309">
        <f t="shared" si="182"/>
        <v>0</v>
      </c>
      <c r="H88" s="310" t="s">
        <v>221</v>
      </c>
      <c r="I88" s="311" t="e">
        <f t="shared" si="161"/>
        <v>#VALUE!</v>
      </c>
      <c r="J88" s="309">
        <f t="shared" ref="J88:K88" si="220">(J7*J37)/12/21/7.5</f>
        <v>0</v>
      </c>
      <c r="K88" s="310">
        <f t="shared" si="220"/>
        <v>0</v>
      </c>
      <c r="L88" s="311">
        <f t="shared" si="162"/>
        <v>0</v>
      </c>
      <c r="M88" s="309">
        <f t="shared" ref="M88:N88" si="221">(M7*M37)/12/21/7.5</f>
        <v>0</v>
      </c>
      <c r="N88" s="310">
        <f t="shared" si="221"/>
        <v>0</v>
      </c>
      <c r="O88" s="311">
        <f t="shared" si="163"/>
        <v>0</v>
      </c>
      <c r="P88" s="309">
        <f t="shared" ref="P88:Q88" si="222">(P7*P37)/12/21/7.5</f>
        <v>0</v>
      </c>
      <c r="Q88" s="310">
        <f t="shared" si="222"/>
        <v>0</v>
      </c>
      <c r="R88" s="311">
        <f t="shared" si="164"/>
        <v>0</v>
      </c>
      <c r="S88" s="309">
        <f t="shared" ref="S88:T88" si="223">(S7*S37)/12/21/7.5</f>
        <v>0</v>
      </c>
      <c r="T88" s="310">
        <f t="shared" si="223"/>
        <v>0</v>
      </c>
      <c r="U88" s="311">
        <f t="shared" si="165"/>
        <v>0</v>
      </c>
      <c r="V88" s="309">
        <f t="shared" ref="V88:W88" si="224">(V7*V37)/12/21/7.5</f>
        <v>0</v>
      </c>
      <c r="W88" s="310">
        <f t="shared" si="224"/>
        <v>0</v>
      </c>
      <c r="X88" s="311">
        <f t="shared" si="166"/>
        <v>0</v>
      </c>
      <c r="Y88" s="309">
        <f t="shared" ref="Y88:Z88" si="225">(Y7*Y37)/12/21/7.5</f>
        <v>0</v>
      </c>
      <c r="Z88" s="310">
        <f t="shared" si="225"/>
        <v>0</v>
      </c>
      <c r="AA88" s="311">
        <f t="shared" si="167"/>
        <v>0</v>
      </c>
      <c r="AB88" s="309">
        <f t="shared" ref="AB88:AC88" si="226">(AB7*AB37)/12/21/7.5</f>
        <v>0</v>
      </c>
      <c r="AC88" s="310">
        <f t="shared" si="226"/>
        <v>0</v>
      </c>
      <c r="AD88" s="311">
        <f t="shared" si="168"/>
        <v>0</v>
      </c>
      <c r="AE88" s="309">
        <f t="shared" ref="AE88:AF88" si="227">(AE7*AE37)/12/21/7.5</f>
        <v>0</v>
      </c>
      <c r="AF88" s="310">
        <f t="shared" si="227"/>
        <v>0</v>
      </c>
      <c r="AG88" s="311">
        <f t="shared" si="169"/>
        <v>0</v>
      </c>
      <c r="AH88" s="309">
        <f t="shared" ref="AH88:AI88" si="228">(AH7*AH37)/12/21/7.5</f>
        <v>0</v>
      </c>
      <c r="AI88" s="310">
        <f t="shared" si="228"/>
        <v>0</v>
      </c>
      <c r="AJ88" s="311">
        <f t="shared" si="170"/>
        <v>0</v>
      </c>
      <c r="AK88" s="309">
        <f t="shared" ref="AK88:AL88" si="229">(AK7*AK37)/12/21/7.5</f>
        <v>0</v>
      </c>
      <c r="AL88" s="310">
        <f t="shared" si="229"/>
        <v>0</v>
      </c>
      <c r="AM88" s="311">
        <f t="shared" si="171"/>
        <v>0</v>
      </c>
      <c r="AN88" s="309">
        <f t="shared" ref="AN88:AO88" si="230">(AN7*AN37)/12/21/7.5</f>
        <v>0</v>
      </c>
      <c r="AO88" s="310">
        <f t="shared" si="230"/>
        <v>0</v>
      </c>
      <c r="AP88" s="311">
        <f t="shared" si="172"/>
        <v>0</v>
      </c>
      <c r="AQ88" s="309">
        <f t="shared" ref="AQ88:AR88" si="231">(AQ7*AQ37)/12/21/7.5</f>
        <v>0</v>
      </c>
      <c r="AR88" s="310">
        <f t="shared" si="231"/>
        <v>0</v>
      </c>
      <c r="AS88" s="311">
        <f t="shared" si="173"/>
        <v>0</v>
      </c>
      <c r="AT88" s="309">
        <f t="shared" ref="AT88:AU88" si="232">(AT7*AT37)/12/21/7.5</f>
        <v>0</v>
      </c>
      <c r="AU88" s="310">
        <f t="shared" si="232"/>
        <v>0</v>
      </c>
      <c r="AV88" s="311">
        <f t="shared" si="174"/>
        <v>0</v>
      </c>
      <c r="AW88" s="309">
        <f t="shared" ref="AW88:AX88" si="233">(AW7*AW37)/12/21/7.5</f>
        <v>0</v>
      </c>
      <c r="AX88" s="310">
        <f t="shared" si="233"/>
        <v>0</v>
      </c>
      <c r="AY88" s="311">
        <f t="shared" si="175"/>
        <v>0</v>
      </c>
      <c r="AZ88" s="309">
        <f t="shared" ref="AZ88:BA88" si="234">(AZ7*AZ37)/12/21/7.5</f>
        <v>0</v>
      </c>
      <c r="BA88" s="310">
        <f t="shared" si="234"/>
        <v>0</v>
      </c>
      <c r="BB88" s="311">
        <f t="shared" si="176"/>
        <v>0</v>
      </c>
      <c r="BC88" s="309">
        <f t="shared" ref="BC88:BD88" si="235">(BC7*BC37)/12/21/7.5</f>
        <v>0</v>
      </c>
      <c r="BD88" s="310">
        <f t="shared" si="235"/>
        <v>0</v>
      </c>
      <c r="BE88" s="311">
        <f t="shared" si="177"/>
        <v>0</v>
      </c>
      <c r="BF88" s="309">
        <f t="shared" ref="BF88:BG88" si="236">(BF7*BF37)/12/21/7.5</f>
        <v>0</v>
      </c>
      <c r="BG88" s="310">
        <f t="shared" si="236"/>
        <v>0</v>
      </c>
      <c r="BH88" s="311">
        <f t="shared" si="178"/>
        <v>0</v>
      </c>
      <c r="BI88" s="309">
        <f t="shared" si="200"/>
        <v>0</v>
      </c>
      <c r="BJ88" s="310">
        <f t="shared" si="200"/>
        <v>0</v>
      </c>
      <c r="BK88" s="311">
        <f t="shared" si="179"/>
        <v>0</v>
      </c>
      <c r="BL88" s="309">
        <f t="shared" si="201"/>
        <v>0</v>
      </c>
      <c r="BM88" s="310">
        <f t="shared" si="201"/>
        <v>0</v>
      </c>
      <c r="BN88" s="311">
        <f t="shared" si="180"/>
        <v>0</v>
      </c>
      <c r="BO88" s="309">
        <f t="shared" si="202"/>
        <v>0</v>
      </c>
      <c r="BP88" s="310">
        <f t="shared" si="202"/>
        <v>0</v>
      </c>
      <c r="BQ88" s="311">
        <f t="shared" si="181"/>
        <v>0</v>
      </c>
    </row>
    <row r="89" spans="1:69">
      <c r="A89" s="780"/>
      <c r="B89" s="782"/>
      <c r="C89" s="288" t="s">
        <v>167</v>
      </c>
      <c r="D89" s="289">
        <f t="shared" si="158"/>
        <v>0</v>
      </c>
      <c r="E89" s="290">
        <f t="shared" si="159"/>
        <v>0</v>
      </c>
      <c r="F89" s="291">
        <f t="shared" si="160"/>
        <v>0</v>
      </c>
      <c r="G89" s="309">
        <f t="shared" si="182"/>
        <v>0</v>
      </c>
      <c r="H89" s="310">
        <f t="shared" si="182"/>
        <v>0</v>
      </c>
      <c r="I89" s="311">
        <f t="shared" si="161"/>
        <v>0</v>
      </c>
      <c r="J89" s="309">
        <f t="shared" ref="J89:K89" si="237">(J8*J38)/12/21/7.5</f>
        <v>0</v>
      </c>
      <c r="K89" s="310">
        <f t="shared" si="237"/>
        <v>0</v>
      </c>
      <c r="L89" s="311">
        <f t="shared" si="162"/>
        <v>0</v>
      </c>
      <c r="M89" s="309">
        <f t="shared" ref="M89:N89" si="238">(M8*M38)/12/21/7.5</f>
        <v>0</v>
      </c>
      <c r="N89" s="310">
        <f t="shared" si="238"/>
        <v>0</v>
      </c>
      <c r="O89" s="311">
        <f t="shared" si="163"/>
        <v>0</v>
      </c>
      <c r="P89" s="309">
        <f t="shared" ref="P89:Q89" si="239">(P8*P38)/12/21/7.5</f>
        <v>0</v>
      </c>
      <c r="Q89" s="310">
        <f t="shared" si="239"/>
        <v>0</v>
      </c>
      <c r="R89" s="311">
        <f t="shared" si="164"/>
        <v>0</v>
      </c>
      <c r="S89" s="309">
        <f t="shared" ref="S89:T89" si="240">(S8*S38)/12/21/7.5</f>
        <v>0</v>
      </c>
      <c r="T89" s="310">
        <f t="shared" si="240"/>
        <v>0</v>
      </c>
      <c r="U89" s="311">
        <f t="shared" si="165"/>
        <v>0</v>
      </c>
      <c r="V89" s="309">
        <f t="shared" ref="V89:W89" si="241">(V8*V38)/12/21/7.5</f>
        <v>0</v>
      </c>
      <c r="W89" s="310">
        <f t="shared" si="241"/>
        <v>0</v>
      </c>
      <c r="X89" s="311">
        <f t="shared" si="166"/>
        <v>0</v>
      </c>
      <c r="Y89" s="309">
        <f t="shared" ref="Y89:Z89" si="242">(Y8*Y38)/12/21/7.5</f>
        <v>0</v>
      </c>
      <c r="Z89" s="310">
        <f t="shared" si="242"/>
        <v>0</v>
      </c>
      <c r="AA89" s="311">
        <f t="shared" si="167"/>
        <v>0</v>
      </c>
      <c r="AB89" s="309">
        <f t="shared" ref="AB89:AC89" si="243">(AB8*AB38)/12/21/7.5</f>
        <v>0</v>
      </c>
      <c r="AC89" s="310">
        <f t="shared" si="243"/>
        <v>0</v>
      </c>
      <c r="AD89" s="311">
        <f t="shared" si="168"/>
        <v>0</v>
      </c>
      <c r="AE89" s="309">
        <f t="shared" ref="AE89:AF89" si="244">(AE8*AE38)/12/21/7.5</f>
        <v>0</v>
      </c>
      <c r="AF89" s="310">
        <f t="shared" si="244"/>
        <v>0</v>
      </c>
      <c r="AG89" s="311">
        <f t="shared" si="169"/>
        <v>0</v>
      </c>
      <c r="AH89" s="309">
        <f t="shared" ref="AH89:AI89" si="245">(AH8*AH38)/12/21/7.5</f>
        <v>0</v>
      </c>
      <c r="AI89" s="310">
        <f t="shared" si="245"/>
        <v>0</v>
      </c>
      <c r="AJ89" s="311">
        <f t="shared" si="170"/>
        <v>0</v>
      </c>
      <c r="AK89" s="309">
        <f t="shared" ref="AK89:AL89" si="246">(AK8*AK38)/12/21/7.5</f>
        <v>0</v>
      </c>
      <c r="AL89" s="310">
        <f t="shared" si="246"/>
        <v>0</v>
      </c>
      <c r="AM89" s="311">
        <f t="shared" si="171"/>
        <v>0</v>
      </c>
      <c r="AN89" s="309">
        <f t="shared" ref="AN89:AO89" si="247">(AN8*AN38)/12/21/7.5</f>
        <v>0</v>
      </c>
      <c r="AO89" s="310">
        <f t="shared" si="247"/>
        <v>0</v>
      </c>
      <c r="AP89" s="311">
        <f t="shared" si="172"/>
        <v>0</v>
      </c>
      <c r="AQ89" s="309">
        <f t="shared" ref="AQ89:AR89" si="248">(AQ8*AQ38)/12/21/7.5</f>
        <v>0</v>
      </c>
      <c r="AR89" s="310">
        <f t="shared" si="248"/>
        <v>0</v>
      </c>
      <c r="AS89" s="311">
        <f t="shared" si="173"/>
        <v>0</v>
      </c>
      <c r="AT89" s="309">
        <f t="shared" ref="AT89:AU89" si="249">(AT8*AT38)/12/21/7.5</f>
        <v>0</v>
      </c>
      <c r="AU89" s="310">
        <f t="shared" si="249"/>
        <v>0</v>
      </c>
      <c r="AV89" s="311">
        <f t="shared" si="174"/>
        <v>0</v>
      </c>
      <c r="AW89" s="309">
        <f t="shared" ref="AW89:AX89" si="250">(AW8*AW38)/12/21/7.5</f>
        <v>0</v>
      </c>
      <c r="AX89" s="310">
        <f t="shared" si="250"/>
        <v>0</v>
      </c>
      <c r="AY89" s="311">
        <f t="shared" si="175"/>
        <v>0</v>
      </c>
      <c r="AZ89" s="309">
        <f t="shared" ref="AZ89:BA89" si="251">(AZ8*AZ38)/12/21/7.5</f>
        <v>0</v>
      </c>
      <c r="BA89" s="310">
        <f t="shared" si="251"/>
        <v>0</v>
      </c>
      <c r="BB89" s="311">
        <f t="shared" si="176"/>
        <v>0</v>
      </c>
      <c r="BC89" s="309">
        <f t="shared" ref="BC89:BD89" si="252">(BC8*BC38)/12/21/7.5</f>
        <v>0</v>
      </c>
      <c r="BD89" s="310">
        <f t="shared" si="252"/>
        <v>0</v>
      </c>
      <c r="BE89" s="311">
        <f t="shared" si="177"/>
        <v>0</v>
      </c>
      <c r="BF89" s="309">
        <f t="shared" ref="BF89:BG89" si="253">(BF8*BF38)/12/21/7.5</f>
        <v>0</v>
      </c>
      <c r="BG89" s="310">
        <f t="shared" si="253"/>
        <v>0</v>
      </c>
      <c r="BH89" s="311">
        <f t="shared" si="178"/>
        <v>0</v>
      </c>
      <c r="BI89" s="309">
        <f t="shared" si="200"/>
        <v>0</v>
      </c>
      <c r="BJ89" s="310">
        <f t="shared" si="200"/>
        <v>0</v>
      </c>
      <c r="BK89" s="311">
        <f t="shared" si="179"/>
        <v>0</v>
      </c>
      <c r="BL89" s="309">
        <f t="shared" si="201"/>
        <v>0</v>
      </c>
      <c r="BM89" s="310">
        <f t="shared" si="201"/>
        <v>0</v>
      </c>
      <c r="BN89" s="311">
        <f t="shared" si="180"/>
        <v>0</v>
      </c>
      <c r="BO89" s="309">
        <f t="shared" si="202"/>
        <v>0</v>
      </c>
      <c r="BP89" s="310">
        <f t="shared" si="202"/>
        <v>0</v>
      </c>
      <c r="BQ89" s="311">
        <f t="shared" si="181"/>
        <v>0</v>
      </c>
    </row>
    <row r="90" spans="1:69">
      <c r="A90" s="780"/>
      <c r="B90" s="782"/>
      <c r="C90" s="288" t="s">
        <v>168</v>
      </c>
      <c r="D90" s="289">
        <f t="shared" si="158"/>
        <v>0</v>
      </c>
      <c r="E90" s="290">
        <f t="shared" si="159"/>
        <v>0</v>
      </c>
      <c r="F90" s="291">
        <f t="shared" si="160"/>
        <v>0</v>
      </c>
      <c r="G90" s="309">
        <f t="shared" si="182"/>
        <v>0</v>
      </c>
      <c r="H90" s="310">
        <f t="shared" si="182"/>
        <v>0</v>
      </c>
      <c r="I90" s="311">
        <f t="shared" si="161"/>
        <v>0</v>
      </c>
      <c r="J90" s="309">
        <f t="shared" ref="J90:K90" si="254">(J9*J39)/12/21/7.5</f>
        <v>0</v>
      </c>
      <c r="K90" s="310">
        <f t="shared" si="254"/>
        <v>0</v>
      </c>
      <c r="L90" s="311">
        <f t="shared" si="162"/>
        <v>0</v>
      </c>
      <c r="M90" s="309">
        <f t="shared" ref="M90:N90" si="255">(M9*M39)/12/21/7.5</f>
        <v>0</v>
      </c>
      <c r="N90" s="310">
        <f t="shared" si="255"/>
        <v>0</v>
      </c>
      <c r="O90" s="311">
        <f t="shared" si="163"/>
        <v>0</v>
      </c>
      <c r="P90" s="309">
        <f t="shared" ref="P90:Q90" si="256">(P9*P39)/12/21/7.5</f>
        <v>0</v>
      </c>
      <c r="Q90" s="310">
        <f t="shared" si="256"/>
        <v>0</v>
      </c>
      <c r="R90" s="311">
        <f t="shared" si="164"/>
        <v>0</v>
      </c>
      <c r="S90" s="309">
        <f t="shared" ref="S90:T90" si="257">(S9*S39)/12/21/7.5</f>
        <v>0</v>
      </c>
      <c r="T90" s="310">
        <f t="shared" si="257"/>
        <v>0</v>
      </c>
      <c r="U90" s="311">
        <f t="shared" si="165"/>
        <v>0</v>
      </c>
      <c r="V90" s="309">
        <f t="shared" ref="V90:W90" si="258">(V9*V39)/12/21/7.5</f>
        <v>0</v>
      </c>
      <c r="W90" s="310">
        <f t="shared" si="258"/>
        <v>0</v>
      </c>
      <c r="X90" s="311">
        <f t="shared" si="166"/>
        <v>0</v>
      </c>
      <c r="Y90" s="309">
        <f t="shared" ref="Y90:Z90" si="259">(Y9*Y39)/12/21/7.5</f>
        <v>0</v>
      </c>
      <c r="Z90" s="310">
        <f t="shared" si="259"/>
        <v>0</v>
      </c>
      <c r="AA90" s="311">
        <f t="shared" si="167"/>
        <v>0</v>
      </c>
      <c r="AB90" s="309">
        <f t="shared" ref="AB90:AC90" si="260">(AB9*AB39)/12/21/7.5</f>
        <v>0</v>
      </c>
      <c r="AC90" s="310">
        <f t="shared" si="260"/>
        <v>0</v>
      </c>
      <c r="AD90" s="311">
        <f t="shared" si="168"/>
        <v>0</v>
      </c>
      <c r="AE90" s="309">
        <f t="shared" ref="AE90:AF90" si="261">(AE9*AE39)/12/21/7.5</f>
        <v>0</v>
      </c>
      <c r="AF90" s="310">
        <f t="shared" si="261"/>
        <v>0</v>
      </c>
      <c r="AG90" s="311">
        <f t="shared" si="169"/>
        <v>0</v>
      </c>
      <c r="AH90" s="309">
        <f t="shared" ref="AH90:AI90" si="262">(AH9*AH39)/12/21/7.5</f>
        <v>0</v>
      </c>
      <c r="AI90" s="310">
        <f t="shared" si="262"/>
        <v>0</v>
      </c>
      <c r="AJ90" s="311">
        <f t="shared" si="170"/>
        <v>0</v>
      </c>
      <c r="AK90" s="309">
        <f t="shared" ref="AK90:AL90" si="263">(AK9*AK39)/12/21/7.5</f>
        <v>0</v>
      </c>
      <c r="AL90" s="310">
        <f t="shared" si="263"/>
        <v>0</v>
      </c>
      <c r="AM90" s="311">
        <f t="shared" si="171"/>
        <v>0</v>
      </c>
      <c r="AN90" s="309">
        <f t="shared" ref="AN90:AO90" si="264">(AN9*AN39)/12/21/7.5</f>
        <v>0</v>
      </c>
      <c r="AO90" s="310">
        <f t="shared" si="264"/>
        <v>0</v>
      </c>
      <c r="AP90" s="311">
        <f t="shared" si="172"/>
        <v>0</v>
      </c>
      <c r="AQ90" s="309">
        <f t="shared" ref="AQ90:AR90" si="265">(AQ9*AQ39)/12/21/7.5</f>
        <v>0</v>
      </c>
      <c r="AR90" s="310">
        <f t="shared" si="265"/>
        <v>0</v>
      </c>
      <c r="AS90" s="311">
        <f t="shared" si="173"/>
        <v>0</v>
      </c>
      <c r="AT90" s="309">
        <f t="shared" ref="AT90:AU90" si="266">(AT9*AT39)/12/21/7.5</f>
        <v>0</v>
      </c>
      <c r="AU90" s="310">
        <f t="shared" si="266"/>
        <v>0</v>
      </c>
      <c r="AV90" s="311">
        <f t="shared" si="174"/>
        <v>0</v>
      </c>
      <c r="AW90" s="309">
        <f t="shared" ref="AW90:AX90" si="267">(AW9*AW39)/12/21/7.5</f>
        <v>0</v>
      </c>
      <c r="AX90" s="310">
        <f t="shared" si="267"/>
        <v>0</v>
      </c>
      <c r="AY90" s="311">
        <f t="shared" si="175"/>
        <v>0</v>
      </c>
      <c r="AZ90" s="309">
        <f t="shared" ref="AZ90:BA90" si="268">(AZ9*AZ39)/12/21/7.5</f>
        <v>0</v>
      </c>
      <c r="BA90" s="310">
        <f t="shared" si="268"/>
        <v>0</v>
      </c>
      <c r="BB90" s="311">
        <f t="shared" si="176"/>
        <v>0</v>
      </c>
      <c r="BC90" s="309">
        <f t="shared" ref="BC90:BD90" si="269">(BC9*BC39)/12/21/7.5</f>
        <v>0</v>
      </c>
      <c r="BD90" s="310">
        <f t="shared" si="269"/>
        <v>0</v>
      </c>
      <c r="BE90" s="311">
        <f t="shared" si="177"/>
        <v>0</v>
      </c>
      <c r="BF90" s="309">
        <f t="shared" ref="BF90:BG90" si="270">(BF9*BF39)/12/21/7.5</f>
        <v>0</v>
      </c>
      <c r="BG90" s="310">
        <f t="shared" si="270"/>
        <v>0</v>
      </c>
      <c r="BH90" s="311">
        <f t="shared" si="178"/>
        <v>0</v>
      </c>
      <c r="BI90" s="309">
        <f t="shared" si="200"/>
        <v>0</v>
      </c>
      <c r="BJ90" s="310">
        <f t="shared" si="200"/>
        <v>0</v>
      </c>
      <c r="BK90" s="311">
        <f t="shared" si="179"/>
        <v>0</v>
      </c>
      <c r="BL90" s="309">
        <f t="shared" si="201"/>
        <v>0</v>
      </c>
      <c r="BM90" s="310">
        <f t="shared" si="201"/>
        <v>0</v>
      </c>
      <c r="BN90" s="311">
        <f t="shared" si="180"/>
        <v>0</v>
      </c>
      <c r="BO90" s="309">
        <f t="shared" si="202"/>
        <v>0</v>
      </c>
      <c r="BP90" s="310">
        <f t="shared" si="202"/>
        <v>0</v>
      </c>
      <c r="BQ90" s="311">
        <f t="shared" si="181"/>
        <v>0</v>
      </c>
    </row>
    <row r="91" spans="1:69">
      <c r="A91" s="780"/>
      <c r="B91" s="782"/>
      <c r="C91" s="288" t="s">
        <v>169</v>
      </c>
      <c r="D91" s="289">
        <f t="shared" si="158"/>
        <v>0</v>
      </c>
      <c r="E91" s="290">
        <f t="shared" si="159"/>
        <v>0</v>
      </c>
      <c r="F91" s="291">
        <f t="shared" si="160"/>
        <v>0</v>
      </c>
      <c r="G91" s="309">
        <f t="shared" si="182"/>
        <v>0</v>
      </c>
      <c r="H91" s="310">
        <f t="shared" si="182"/>
        <v>0</v>
      </c>
      <c r="I91" s="311">
        <f t="shared" si="161"/>
        <v>0</v>
      </c>
      <c r="J91" s="309">
        <f t="shared" ref="J91:K91" si="271">(J10*J40)/12/21/7.5</f>
        <v>0</v>
      </c>
      <c r="K91" s="310">
        <f t="shared" si="271"/>
        <v>0</v>
      </c>
      <c r="L91" s="311">
        <f t="shared" si="162"/>
        <v>0</v>
      </c>
      <c r="M91" s="309">
        <f t="shared" ref="M91:N91" si="272">(M10*M40)/12/21/7.5</f>
        <v>0</v>
      </c>
      <c r="N91" s="310">
        <f t="shared" si="272"/>
        <v>0</v>
      </c>
      <c r="O91" s="311">
        <f t="shared" si="163"/>
        <v>0</v>
      </c>
      <c r="P91" s="309">
        <f t="shared" ref="P91:Q91" si="273">(P10*P40)/12/21/7.5</f>
        <v>0</v>
      </c>
      <c r="Q91" s="310">
        <f t="shared" si="273"/>
        <v>0</v>
      </c>
      <c r="R91" s="311">
        <f t="shared" si="164"/>
        <v>0</v>
      </c>
      <c r="S91" s="309">
        <f t="shared" ref="S91:T91" si="274">(S10*S40)/12/21/7.5</f>
        <v>0</v>
      </c>
      <c r="T91" s="310">
        <f t="shared" si="274"/>
        <v>0</v>
      </c>
      <c r="U91" s="311">
        <f t="shared" si="165"/>
        <v>0</v>
      </c>
      <c r="V91" s="309">
        <f t="shared" ref="V91:W91" si="275">(V10*V40)/12/21/7.5</f>
        <v>0</v>
      </c>
      <c r="W91" s="310">
        <f t="shared" si="275"/>
        <v>0</v>
      </c>
      <c r="X91" s="311">
        <f t="shared" si="166"/>
        <v>0</v>
      </c>
      <c r="Y91" s="309">
        <f t="shared" ref="Y91:Z91" si="276">(Y10*Y40)/12/21/7.5</f>
        <v>0</v>
      </c>
      <c r="Z91" s="310">
        <f t="shared" si="276"/>
        <v>0</v>
      </c>
      <c r="AA91" s="311">
        <f t="shared" si="167"/>
        <v>0</v>
      </c>
      <c r="AB91" s="309">
        <f t="shared" ref="AB91:AC91" si="277">(AB10*AB40)/12/21/7.5</f>
        <v>0</v>
      </c>
      <c r="AC91" s="310">
        <f t="shared" si="277"/>
        <v>0</v>
      </c>
      <c r="AD91" s="311">
        <f t="shared" si="168"/>
        <v>0</v>
      </c>
      <c r="AE91" s="309">
        <f t="shared" ref="AE91:AF91" si="278">(AE10*AE40)/12/21/7.5</f>
        <v>0</v>
      </c>
      <c r="AF91" s="310">
        <f t="shared" si="278"/>
        <v>0</v>
      </c>
      <c r="AG91" s="311">
        <f t="shared" si="169"/>
        <v>0</v>
      </c>
      <c r="AH91" s="309">
        <f t="shared" ref="AH91:AI91" si="279">(AH10*AH40)/12/21/7.5</f>
        <v>0</v>
      </c>
      <c r="AI91" s="310">
        <f t="shared" si="279"/>
        <v>0</v>
      </c>
      <c r="AJ91" s="311">
        <f t="shared" si="170"/>
        <v>0</v>
      </c>
      <c r="AK91" s="309">
        <f t="shared" ref="AK91:AL91" si="280">(AK10*AK40)/12/21/7.5</f>
        <v>0</v>
      </c>
      <c r="AL91" s="310">
        <f t="shared" si="280"/>
        <v>0</v>
      </c>
      <c r="AM91" s="311">
        <f t="shared" si="171"/>
        <v>0</v>
      </c>
      <c r="AN91" s="309">
        <f t="shared" ref="AN91:AO91" si="281">(AN10*AN40)/12/21/7.5</f>
        <v>0</v>
      </c>
      <c r="AO91" s="310">
        <f t="shared" si="281"/>
        <v>0</v>
      </c>
      <c r="AP91" s="311">
        <f t="shared" si="172"/>
        <v>0</v>
      </c>
      <c r="AQ91" s="309">
        <f t="shared" ref="AQ91:AR91" si="282">(AQ10*AQ40)/12/21/7.5</f>
        <v>0</v>
      </c>
      <c r="AR91" s="310">
        <f t="shared" si="282"/>
        <v>0</v>
      </c>
      <c r="AS91" s="311">
        <f t="shared" si="173"/>
        <v>0</v>
      </c>
      <c r="AT91" s="309">
        <f t="shared" ref="AT91:AU91" si="283">(AT10*AT40)/12/21/7.5</f>
        <v>0</v>
      </c>
      <c r="AU91" s="310">
        <f t="shared" si="283"/>
        <v>0</v>
      </c>
      <c r="AV91" s="311">
        <f t="shared" si="174"/>
        <v>0</v>
      </c>
      <c r="AW91" s="309">
        <f t="shared" ref="AW91:AX91" si="284">(AW10*AW40)/12/21/7.5</f>
        <v>0</v>
      </c>
      <c r="AX91" s="310">
        <f t="shared" si="284"/>
        <v>0</v>
      </c>
      <c r="AY91" s="311">
        <f t="shared" si="175"/>
        <v>0</v>
      </c>
      <c r="AZ91" s="309">
        <f t="shared" ref="AZ91:BA91" si="285">(AZ10*AZ40)/12/21/7.5</f>
        <v>0</v>
      </c>
      <c r="BA91" s="310">
        <f t="shared" si="285"/>
        <v>0</v>
      </c>
      <c r="BB91" s="311">
        <f t="shared" si="176"/>
        <v>0</v>
      </c>
      <c r="BC91" s="309">
        <f t="shared" ref="BC91:BD91" si="286">(BC10*BC40)/12/21/7.5</f>
        <v>0</v>
      </c>
      <c r="BD91" s="310">
        <f t="shared" si="286"/>
        <v>0</v>
      </c>
      <c r="BE91" s="311">
        <f t="shared" si="177"/>
        <v>0</v>
      </c>
      <c r="BF91" s="309">
        <f t="shared" ref="BF91:BG91" si="287">(BF10*BF40)/12/21/7.5</f>
        <v>0</v>
      </c>
      <c r="BG91" s="310">
        <f t="shared" si="287"/>
        <v>0</v>
      </c>
      <c r="BH91" s="311">
        <f t="shared" si="178"/>
        <v>0</v>
      </c>
      <c r="BI91" s="309">
        <f t="shared" si="200"/>
        <v>0</v>
      </c>
      <c r="BJ91" s="310">
        <f t="shared" si="200"/>
        <v>0</v>
      </c>
      <c r="BK91" s="311">
        <f t="shared" si="179"/>
        <v>0</v>
      </c>
      <c r="BL91" s="309">
        <f t="shared" si="201"/>
        <v>0</v>
      </c>
      <c r="BM91" s="310">
        <f t="shared" si="201"/>
        <v>0</v>
      </c>
      <c r="BN91" s="311">
        <f t="shared" si="180"/>
        <v>0</v>
      </c>
      <c r="BO91" s="309">
        <f t="shared" si="202"/>
        <v>0</v>
      </c>
      <c r="BP91" s="310">
        <f t="shared" si="202"/>
        <v>0</v>
      </c>
      <c r="BQ91" s="311">
        <f t="shared" si="181"/>
        <v>0</v>
      </c>
    </row>
    <row r="92" spans="1:69">
      <c r="A92" s="780"/>
      <c r="B92" s="782"/>
      <c r="C92" s="288" t="s">
        <v>170</v>
      </c>
      <c r="D92" s="289">
        <f t="shared" si="158"/>
        <v>0</v>
      </c>
      <c r="E92" s="290">
        <f t="shared" si="159"/>
        <v>0</v>
      </c>
      <c r="F92" s="291">
        <f t="shared" si="160"/>
        <v>0</v>
      </c>
      <c r="G92" s="309">
        <f t="shared" si="182"/>
        <v>0</v>
      </c>
      <c r="H92" s="310">
        <f t="shared" si="182"/>
        <v>0</v>
      </c>
      <c r="I92" s="311">
        <f t="shared" si="161"/>
        <v>0</v>
      </c>
      <c r="J92" s="309">
        <f t="shared" ref="J92:K92" si="288">(J11*J41)/12/21/7.5</f>
        <v>0</v>
      </c>
      <c r="K92" s="310">
        <f t="shared" si="288"/>
        <v>0</v>
      </c>
      <c r="L92" s="311">
        <f t="shared" si="162"/>
        <v>0</v>
      </c>
      <c r="M92" s="309">
        <f t="shared" ref="M92:N92" si="289">(M11*M41)/12/21/7.5</f>
        <v>0</v>
      </c>
      <c r="N92" s="310">
        <f t="shared" si="289"/>
        <v>0</v>
      </c>
      <c r="O92" s="311">
        <f t="shared" si="163"/>
        <v>0</v>
      </c>
      <c r="P92" s="309">
        <f t="shared" ref="P92:Q92" si="290">(P11*P41)/12/21/7.5</f>
        <v>0</v>
      </c>
      <c r="Q92" s="310">
        <f t="shared" si="290"/>
        <v>0</v>
      </c>
      <c r="R92" s="311">
        <f t="shared" si="164"/>
        <v>0</v>
      </c>
      <c r="S92" s="309">
        <f t="shared" ref="S92:T92" si="291">(S11*S41)/12/21/7.5</f>
        <v>0</v>
      </c>
      <c r="T92" s="310">
        <f t="shared" si="291"/>
        <v>0</v>
      </c>
      <c r="U92" s="311">
        <f t="shared" si="165"/>
        <v>0</v>
      </c>
      <c r="V92" s="309">
        <f t="shared" ref="V92:W92" si="292">(V11*V41)/12/21/7.5</f>
        <v>0</v>
      </c>
      <c r="W92" s="310">
        <f t="shared" si="292"/>
        <v>0</v>
      </c>
      <c r="X92" s="311">
        <f t="shared" si="166"/>
        <v>0</v>
      </c>
      <c r="Y92" s="309">
        <f t="shared" ref="Y92:Z92" si="293">(Y11*Y41)/12/21/7.5</f>
        <v>0</v>
      </c>
      <c r="Z92" s="310">
        <f t="shared" si="293"/>
        <v>0</v>
      </c>
      <c r="AA92" s="311">
        <f t="shared" si="167"/>
        <v>0</v>
      </c>
      <c r="AB92" s="309">
        <f t="shared" ref="AB92:AC92" si="294">(AB11*AB41)/12/21/7.5</f>
        <v>0</v>
      </c>
      <c r="AC92" s="310">
        <f t="shared" si="294"/>
        <v>0</v>
      </c>
      <c r="AD92" s="311">
        <f t="shared" si="168"/>
        <v>0</v>
      </c>
      <c r="AE92" s="309">
        <f t="shared" ref="AE92:AF92" si="295">(AE11*AE41)/12/21/7.5</f>
        <v>0</v>
      </c>
      <c r="AF92" s="310">
        <f t="shared" si="295"/>
        <v>0</v>
      </c>
      <c r="AG92" s="311">
        <f t="shared" si="169"/>
        <v>0</v>
      </c>
      <c r="AH92" s="309">
        <f t="shared" ref="AH92:AI92" si="296">(AH11*AH41)/12/21/7.5</f>
        <v>0</v>
      </c>
      <c r="AI92" s="310">
        <f t="shared" si="296"/>
        <v>0</v>
      </c>
      <c r="AJ92" s="311">
        <f t="shared" si="170"/>
        <v>0</v>
      </c>
      <c r="AK92" s="309">
        <f t="shared" ref="AK92:AL92" si="297">(AK11*AK41)/12/21/7.5</f>
        <v>0</v>
      </c>
      <c r="AL92" s="310">
        <f t="shared" si="297"/>
        <v>0</v>
      </c>
      <c r="AM92" s="311">
        <f t="shared" si="171"/>
        <v>0</v>
      </c>
      <c r="AN92" s="309">
        <f t="shared" ref="AN92:AO92" si="298">(AN11*AN41)/12/21/7.5</f>
        <v>0</v>
      </c>
      <c r="AO92" s="310">
        <f t="shared" si="298"/>
        <v>0</v>
      </c>
      <c r="AP92" s="311">
        <f t="shared" si="172"/>
        <v>0</v>
      </c>
      <c r="AQ92" s="309">
        <f t="shared" ref="AQ92:AR92" si="299">(AQ11*AQ41)/12/21/7.5</f>
        <v>0</v>
      </c>
      <c r="AR92" s="310">
        <f t="shared" si="299"/>
        <v>0</v>
      </c>
      <c r="AS92" s="311">
        <f t="shared" si="173"/>
        <v>0</v>
      </c>
      <c r="AT92" s="309">
        <f t="shared" ref="AT92:AU92" si="300">(AT11*AT41)/12/21/7.5</f>
        <v>0</v>
      </c>
      <c r="AU92" s="310">
        <f t="shared" si="300"/>
        <v>0</v>
      </c>
      <c r="AV92" s="311">
        <f t="shared" si="174"/>
        <v>0</v>
      </c>
      <c r="AW92" s="309">
        <f t="shared" ref="AW92:AX92" si="301">(AW11*AW41)/12/21/7.5</f>
        <v>0</v>
      </c>
      <c r="AX92" s="310">
        <f t="shared" si="301"/>
        <v>0</v>
      </c>
      <c r="AY92" s="311">
        <f t="shared" si="175"/>
        <v>0</v>
      </c>
      <c r="AZ92" s="309">
        <f t="shared" ref="AZ92:BA92" si="302">(AZ11*AZ41)/12/21/7.5</f>
        <v>0</v>
      </c>
      <c r="BA92" s="310">
        <f t="shared" si="302"/>
        <v>0</v>
      </c>
      <c r="BB92" s="311">
        <f t="shared" si="176"/>
        <v>0</v>
      </c>
      <c r="BC92" s="309">
        <f t="shared" ref="BC92:BD92" si="303">(BC11*BC41)/12/21/7.5</f>
        <v>0</v>
      </c>
      <c r="BD92" s="310">
        <f t="shared" si="303"/>
        <v>0</v>
      </c>
      <c r="BE92" s="311">
        <f t="shared" si="177"/>
        <v>0</v>
      </c>
      <c r="BF92" s="309">
        <f t="shared" ref="BF92:BG92" si="304">(BF11*BF41)/12/21/7.5</f>
        <v>0</v>
      </c>
      <c r="BG92" s="310">
        <f t="shared" si="304"/>
        <v>0</v>
      </c>
      <c r="BH92" s="311">
        <f t="shared" si="178"/>
        <v>0</v>
      </c>
      <c r="BI92" s="309">
        <f t="shared" si="200"/>
        <v>0</v>
      </c>
      <c r="BJ92" s="310">
        <f t="shared" si="200"/>
        <v>0</v>
      </c>
      <c r="BK92" s="311">
        <f t="shared" si="179"/>
        <v>0</v>
      </c>
      <c r="BL92" s="309">
        <f t="shared" si="201"/>
        <v>0</v>
      </c>
      <c r="BM92" s="310">
        <f t="shared" si="201"/>
        <v>0</v>
      </c>
      <c r="BN92" s="311">
        <f t="shared" si="180"/>
        <v>0</v>
      </c>
      <c r="BO92" s="309">
        <f t="shared" si="202"/>
        <v>0</v>
      </c>
      <c r="BP92" s="310">
        <f t="shared" si="202"/>
        <v>0</v>
      </c>
      <c r="BQ92" s="311">
        <f t="shared" si="181"/>
        <v>0</v>
      </c>
    </row>
    <row r="93" spans="1:69">
      <c r="A93" s="780"/>
      <c r="B93" s="782"/>
      <c r="C93" s="288" t="s">
        <v>171</v>
      </c>
      <c r="D93" s="289">
        <f t="shared" si="158"/>
        <v>0</v>
      </c>
      <c r="E93" s="290">
        <f t="shared" si="159"/>
        <v>0</v>
      </c>
      <c r="F93" s="291">
        <f t="shared" si="160"/>
        <v>0</v>
      </c>
      <c r="G93" s="309">
        <f t="shared" si="182"/>
        <v>0</v>
      </c>
      <c r="H93" s="310">
        <f t="shared" si="182"/>
        <v>0</v>
      </c>
      <c r="I93" s="311">
        <f t="shared" si="161"/>
        <v>0</v>
      </c>
      <c r="J93" s="309">
        <f t="shared" ref="J93:K93" si="305">(J12*J42)/12/21/7.5</f>
        <v>0</v>
      </c>
      <c r="K93" s="310">
        <f t="shared" si="305"/>
        <v>0</v>
      </c>
      <c r="L93" s="311">
        <f t="shared" si="162"/>
        <v>0</v>
      </c>
      <c r="M93" s="309">
        <f t="shared" ref="M93:N93" si="306">(M12*M42)/12/21/7.5</f>
        <v>0</v>
      </c>
      <c r="N93" s="310">
        <f t="shared" si="306"/>
        <v>0</v>
      </c>
      <c r="O93" s="311">
        <f t="shared" si="163"/>
        <v>0</v>
      </c>
      <c r="P93" s="309">
        <f t="shared" ref="P93:Q93" si="307">(P12*P42)/12/21/7.5</f>
        <v>0</v>
      </c>
      <c r="Q93" s="310">
        <f t="shared" si="307"/>
        <v>0</v>
      </c>
      <c r="R93" s="311">
        <f t="shared" si="164"/>
        <v>0</v>
      </c>
      <c r="S93" s="309">
        <f t="shared" ref="S93:T93" si="308">(S12*S42)/12/21/7.5</f>
        <v>0</v>
      </c>
      <c r="T93" s="310">
        <f t="shared" si="308"/>
        <v>0</v>
      </c>
      <c r="U93" s="311">
        <f t="shared" si="165"/>
        <v>0</v>
      </c>
      <c r="V93" s="309">
        <f t="shared" ref="V93:W93" si="309">(V12*V42)/12/21/7.5</f>
        <v>0</v>
      </c>
      <c r="W93" s="310">
        <f t="shared" si="309"/>
        <v>0</v>
      </c>
      <c r="X93" s="311">
        <f t="shared" si="166"/>
        <v>0</v>
      </c>
      <c r="Y93" s="309">
        <f t="shared" ref="Y93:Z93" si="310">(Y12*Y42)/12/21/7.5</f>
        <v>0</v>
      </c>
      <c r="Z93" s="310">
        <f t="shared" si="310"/>
        <v>0</v>
      </c>
      <c r="AA93" s="311">
        <f t="shared" si="167"/>
        <v>0</v>
      </c>
      <c r="AB93" s="309">
        <f t="shared" ref="AB93:AC93" si="311">(AB12*AB42)/12/21/7.5</f>
        <v>0</v>
      </c>
      <c r="AC93" s="310">
        <f t="shared" si="311"/>
        <v>0</v>
      </c>
      <c r="AD93" s="311">
        <f t="shared" si="168"/>
        <v>0</v>
      </c>
      <c r="AE93" s="309">
        <f t="shared" ref="AE93:AF93" si="312">(AE12*AE42)/12/21/7.5</f>
        <v>0</v>
      </c>
      <c r="AF93" s="310">
        <f t="shared" si="312"/>
        <v>0</v>
      </c>
      <c r="AG93" s="311">
        <f t="shared" si="169"/>
        <v>0</v>
      </c>
      <c r="AH93" s="309">
        <f t="shared" ref="AH93:AI93" si="313">(AH12*AH42)/12/21/7.5</f>
        <v>0</v>
      </c>
      <c r="AI93" s="310">
        <f t="shared" si="313"/>
        <v>0</v>
      </c>
      <c r="AJ93" s="311">
        <f t="shared" si="170"/>
        <v>0</v>
      </c>
      <c r="AK93" s="309">
        <f t="shared" ref="AK93:AL93" si="314">(AK12*AK42)/12/21/7.5</f>
        <v>0</v>
      </c>
      <c r="AL93" s="310">
        <f t="shared" si="314"/>
        <v>0</v>
      </c>
      <c r="AM93" s="311">
        <f t="shared" si="171"/>
        <v>0</v>
      </c>
      <c r="AN93" s="309">
        <f t="shared" ref="AN93:AO93" si="315">(AN12*AN42)/12/21/7.5</f>
        <v>0</v>
      </c>
      <c r="AO93" s="310">
        <f t="shared" si="315"/>
        <v>0</v>
      </c>
      <c r="AP93" s="311">
        <f t="shared" si="172"/>
        <v>0</v>
      </c>
      <c r="AQ93" s="309">
        <f t="shared" ref="AQ93:AR93" si="316">(AQ12*AQ42)/12/21/7.5</f>
        <v>0</v>
      </c>
      <c r="AR93" s="310">
        <f t="shared" si="316"/>
        <v>0</v>
      </c>
      <c r="AS93" s="311">
        <f t="shared" si="173"/>
        <v>0</v>
      </c>
      <c r="AT93" s="309">
        <f t="shared" ref="AT93:AU93" si="317">(AT12*AT42)/12/21/7.5</f>
        <v>0</v>
      </c>
      <c r="AU93" s="310">
        <f t="shared" si="317"/>
        <v>0</v>
      </c>
      <c r="AV93" s="311">
        <f t="shared" si="174"/>
        <v>0</v>
      </c>
      <c r="AW93" s="309">
        <f t="shared" ref="AW93:AX93" si="318">(AW12*AW42)/12/21/7.5</f>
        <v>0</v>
      </c>
      <c r="AX93" s="310">
        <f t="shared" si="318"/>
        <v>0</v>
      </c>
      <c r="AY93" s="311">
        <f t="shared" si="175"/>
        <v>0</v>
      </c>
      <c r="AZ93" s="309">
        <f t="shared" ref="AZ93:BA93" si="319">(AZ12*AZ42)/12/21/7.5</f>
        <v>0</v>
      </c>
      <c r="BA93" s="310">
        <f t="shared" si="319"/>
        <v>0</v>
      </c>
      <c r="BB93" s="311">
        <f t="shared" si="176"/>
        <v>0</v>
      </c>
      <c r="BC93" s="309">
        <f t="shared" ref="BC93:BD93" si="320">(BC12*BC42)/12/21/7.5</f>
        <v>0</v>
      </c>
      <c r="BD93" s="310">
        <f t="shared" si="320"/>
        <v>0</v>
      </c>
      <c r="BE93" s="311">
        <f t="shared" si="177"/>
        <v>0</v>
      </c>
      <c r="BF93" s="309">
        <f t="shared" ref="BF93:BG93" si="321">(BF12*BF42)/12/21/7.5</f>
        <v>0</v>
      </c>
      <c r="BG93" s="310">
        <f t="shared" si="321"/>
        <v>0</v>
      </c>
      <c r="BH93" s="311">
        <f t="shared" si="178"/>
        <v>0</v>
      </c>
      <c r="BI93" s="309">
        <f t="shared" si="200"/>
        <v>0</v>
      </c>
      <c r="BJ93" s="310">
        <f t="shared" si="200"/>
        <v>0</v>
      </c>
      <c r="BK93" s="311">
        <f t="shared" si="179"/>
        <v>0</v>
      </c>
      <c r="BL93" s="309">
        <f t="shared" si="201"/>
        <v>0</v>
      </c>
      <c r="BM93" s="310">
        <f t="shared" si="201"/>
        <v>0</v>
      </c>
      <c r="BN93" s="311">
        <f t="shared" si="180"/>
        <v>0</v>
      </c>
      <c r="BO93" s="309">
        <f t="shared" si="202"/>
        <v>0</v>
      </c>
      <c r="BP93" s="310">
        <f t="shared" si="202"/>
        <v>0</v>
      </c>
      <c r="BQ93" s="311">
        <f t="shared" si="181"/>
        <v>0</v>
      </c>
    </row>
    <row r="94" spans="1:69">
      <c r="A94" s="780"/>
      <c r="B94" s="782"/>
      <c r="C94" s="288" t="s">
        <v>172</v>
      </c>
      <c r="D94" s="289">
        <f t="shared" si="158"/>
        <v>0</v>
      </c>
      <c r="E94" s="290">
        <f t="shared" si="159"/>
        <v>0</v>
      </c>
      <c r="F94" s="291">
        <f t="shared" si="160"/>
        <v>0</v>
      </c>
      <c r="G94" s="309">
        <f t="shared" si="182"/>
        <v>0</v>
      </c>
      <c r="H94" s="310">
        <f t="shared" si="182"/>
        <v>0</v>
      </c>
      <c r="I94" s="311">
        <f t="shared" si="161"/>
        <v>0</v>
      </c>
      <c r="J94" s="309">
        <f t="shared" ref="J94:K94" si="322">(J13*J43)/12/21/7.5</f>
        <v>0</v>
      </c>
      <c r="K94" s="310">
        <f t="shared" si="322"/>
        <v>0</v>
      </c>
      <c r="L94" s="311">
        <f t="shared" si="162"/>
        <v>0</v>
      </c>
      <c r="M94" s="309">
        <f t="shared" ref="M94:N94" si="323">(M13*M43)/12/21/7.5</f>
        <v>0</v>
      </c>
      <c r="N94" s="310">
        <f t="shared" si="323"/>
        <v>0</v>
      </c>
      <c r="O94" s="311">
        <f t="shared" si="163"/>
        <v>0</v>
      </c>
      <c r="P94" s="309">
        <f t="shared" ref="P94:Q94" si="324">(P13*P43)/12/21/7.5</f>
        <v>0</v>
      </c>
      <c r="Q94" s="310">
        <f t="shared" si="324"/>
        <v>0</v>
      </c>
      <c r="R94" s="311">
        <f t="shared" si="164"/>
        <v>0</v>
      </c>
      <c r="S94" s="309">
        <f t="shared" ref="S94:T94" si="325">(S13*S43)/12/21/7.5</f>
        <v>0</v>
      </c>
      <c r="T94" s="310">
        <f t="shared" si="325"/>
        <v>0</v>
      </c>
      <c r="U94" s="311">
        <f t="shared" si="165"/>
        <v>0</v>
      </c>
      <c r="V94" s="309">
        <f t="shared" ref="V94:W94" si="326">(V13*V43)/12/21/7.5</f>
        <v>0</v>
      </c>
      <c r="W94" s="310">
        <f t="shared" si="326"/>
        <v>0</v>
      </c>
      <c r="X94" s="311">
        <f t="shared" si="166"/>
        <v>0</v>
      </c>
      <c r="Y94" s="309">
        <f t="shared" ref="Y94:Z94" si="327">(Y13*Y43)/12/21/7.5</f>
        <v>0</v>
      </c>
      <c r="Z94" s="310">
        <f t="shared" si="327"/>
        <v>0</v>
      </c>
      <c r="AA94" s="311">
        <f t="shared" si="167"/>
        <v>0</v>
      </c>
      <c r="AB94" s="309">
        <f t="shared" ref="AB94:AC94" si="328">(AB13*AB43)/12/21/7.5</f>
        <v>0</v>
      </c>
      <c r="AC94" s="310">
        <f t="shared" si="328"/>
        <v>0</v>
      </c>
      <c r="AD94" s="311">
        <f t="shared" si="168"/>
        <v>0</v>
      </c>
      <c r="AE94" s="309">
        <f t="shared" ref="AE94:AF94" si="329">(AE13*AE43)/12/21/7.5</f>
        <v>0</v>
      </c>
      <c r="AF94" s="310">
        <f t="shared" si="329"/>
        <v>0</v>
      </c>
      <c r="AG94" s="311">
        <f t="shared" si="169"/>
        <v>0</v>
      </c>
      <c r="AH94" s="309">
        <f t="shared" ref="AH94:AI94" si="330">(AH13*AH43)/12/21/7.5</f>
        <v>0</v>
      </c>
      <c r="AI94" s="310">
        <f t="shared" si="330"/>
        <v>0</v>
      </c>
      <c r="AJ94" s="311">
        <f t="shared" si="170"/>
        <v>0</v>
      </c>
      <c r="AK94" s="309">
        <f t="shared" ref="AK94:AL94" si="331">(AK13*AK43)/12/21/7.5</f>
        <v>0</v>
      </c>
      <c r="AL94" s="310">
        <f t="shared" si="331"/>
        <v>0</v>
      </c>
      <c r="AM94" s="311">
        <f t="shared" si="171"/>
        <v>0</v>
      </c>
      <c r="AN94" s="309">
        <f t="shared" ref="AN94:AO94" si="332">(AN13*AN43)/12/21/7.5</f>
        <v>0</v>
      </c>
      <c r="AO94" s="310">
        <f t="shared" si="332"/>
        <v>0</v>
      </c>
      <c r="AP94" s="311">
        <f t="shared" si="172"/>
        <v>0</v>
      </c>
      <c r="AQ94" s="309">
        <f t="shared" ref="AQ94:AR94" si="333">(AQ13*AQ43)/12/21/7.5</f>
        <v>0</v>
      </c>
      <c r="AR94" s="310">
        <f t="shared" si="333"/>
        <v>0</v>
      </c>
      <c r="AS94" s="311">
        <f t="shared" si="173"/>
        <v>0</v>
      </c>
      <c r="AT94" s="309">
        <f t="shared" ref="AT94:AU94" si="334">(AT13*AT43)/12/21/7.5</f>
        <v>0</v>
      </c>
      <c r="AU94" s="310">
        <f t="shared" si="334"/>
        <v>0</v>
      </c>
      <c r="AV94" s="311">
        <f t="shared" si="174"/>
        <v>0</v>
      </c>
      <c r="AW94" s="309">
        <f t="shared" ref="AW94:AX94" si="335">(AW13*AW43)/12/21/7.5</f>
        <v>0</v>
      </c>
      <c r="AX94" s="310">
        <f t="shared" si="335"/>
        <v>0</v>
      </c>
      <c r="AY94" s="311">
        <f t="shared" si="175"/>
        <v>0</v>
      </c>
      <c r="AZ94" s="309">
        <f t="shared" ref="AZ94:BA94" si="336">(AZ13*AZ43)/12/21/7.5</f>
        <v>0</v>
      </c>
      <c r="BA94" s="310">
        <f t="shared" si="336"/>
        <v>0</v>
      </c>
      <c r="BB94" s="311">
        <f t="shared" si="176"/>
        <v>0</v>
      </c>
      <c r="BC94" s="309">
        <f t="shared" ref="BC94:BD94" si="337">(BC13*BC43)/12/21/7.5</f>
        <v>0</v>
      </c>
      <c r="BD94" s="310">
        <f t="shared" si="337"/>
        <v>0</v>
      </c>
      <c r="BE94" s="311">
        <f t="shared" si="177"/>
        <v>0</v>
      </c>
      <c r="BF94" s="309">
        <f t="shared" ref="BF94:BG94" si="338">(BF13*BF43)/12/21/7.5</f>
        <v>0</v>
      </c>
      <c r="BG94" s="310">
        <f t="shared" si="338"/>
        <v>0</v>
      </c>
      <c r="BH94" s="311">
        <f t="shared" si="178"/>
        <v>0</v>
      </c>
      <c r="BI94" s="309">
        <f t="shared" si="200"/>
        <v>0</v>
      </c>
      <c r="BJ94" s="310">
        <f t="shared" si="200"/>
        <v>0</v>
      </c>
      <c r="BK94" s="311">
        <f t="shared" si="179"/>
        <v>0</v>
      </c>
      <c r="BL94" s="309">
        <f t="shared" si="201"/>
        <v>0</v>
      </c>
      <c r="BM94" s="310">
        <f t="shared" si="201"/>
        <v>0</v>
      </c>
      <c r="BN94" s="311">
        <f t="shared" si="180"/>
        <v>0</v>
      </c>
      <c r="BO94" s="309">
        <f t="shared" si="202"/>
        <v>0</v>
      </c>
      <c r="BP94" s="310">
        <f t="shared" si="202"/>
        <v>0</v>
      </c>
      <c r="BQ94" s="311">
        <f t="shared" si="181"/>
        <v>0</v>
      </c>
    </row>
    <row r="95" spans="1:69" ht="15.75" thickBot="1">
      <c r="A95" s="781"/>
      <c r="B95" s="783"/>
      <c r="C95" s="298" t="s">
        <v>173</v>
      </c>
      <c r="D95" s="299">
        <f t="shared" si="158"/>
        <v>0</v>
      </c>
      <c r="E95" s="300">
        <f t="shared" si="159"/>
        <v>0</v>
      </c>
      <c r="F95" s="301">
        <f t="shared" si="160"/>
        <v>0</v>
      </c>
      <c r="G95" s="312">
        <f t="shared" si="182"/>
        <v>0</v>
      </c>
      <c r="H95" s="313">
        <f t="shared" si="182"/>
        <v>0</v>
      </c>
      <c r="I95" s="314">
        <f t="shared" si="161"/>
        <v>0</v>
      </c>
      <c r="J95" s="312">
        <f t="shared" ref="J95:K95" si="339">(J14*J44)/12/21/7.5</f>
        <v>0</v>
      </c>
      <c r="K95" s="313">
        <f t="shared" si="339"/>
        <v>0</v>
      </c>
      <c r="L95" s="314">
        <f t="shared" si="162"/>
        <v>0</v>
      </c>
      <c r="M95" s="312">
        <f t="shared" ref="M95:N95" si="340">(M14*M44)/12/21/7.5</f>
        <v>0</v>
      </c>
      <c r="N95" s="313">
        <f t="shared" si="340"/>
        <v>0</v>
      </c>
      <c r="O95" s="314">
        <f t="shared" si="163"/>
        <v>0</v>
      </c>
      <c r="P95" s="312">
        <f t="shared" ref="P95:Q95" si="341">(P14*P44)/12/21/7.5</f>
        <v>0</v>
      </c>
      <c r="Q95" s="313">
        <f t="shared" si="341"/>
        <v>0</v>
      </c>
      <c r="R95" s="314">
        <f t="shared" si="164"/>
        <v>0</v>
      </c>
      <c r="S95" s="312">
        <f t="shared" ref="S95:T95" si="342">(S14*S44)/12/21/7.5</f>
        <v>0</v>
      </c>
      <c r="T95" s="313">
        <f t="shared" si="342"/>
        <v>0</v>
      </c>
      <c r="U95" s="314">
        <f t="shared" si="165"/>
        <v>0</v>
      </c>
      <c r="V95" s="312">
        <f t="shared" ref="V95:W95" si="343">(V14*V44)/12/21/7.5</f>
        <v>0</v>
      </c>
      <c r="W95" s="313">
        <f t="shared" si="343"/>
        <v>0</v>
      </c>
      <c r="X95" s="314">
        <f t="shared" si="166"/>
        <v>0</v>
      </c>
      <c r="Y95" s="312">
        <f t="shared" ref="Y95:Z95" si="344">(Y14*Y44)/12/21/7.5</f>
        <v>0</v>
      </c>
      <c r="Z95" s="313">
        <f t="shared" si="344"/>
        <v>0</v>
      </c>
      <c r="AA95" s="314">
        <f t="shared" si="167"/>
        <v>0</v>
      </c>
      <c r="AB95" s="312">
        <f t="shared" ref="AB95:AC95" si="345">(AB14*AB44)/12/21/7.5</f>
        <v>0</v>
      </c>
      <c r="AC95" s="313">
        <f t="shared" si="345"/>
        <v>0</v>
      </c>
      <c r="AD95" s="314">
        <f t="shared" si="168"/>
        <v>0</v>
      </c>
      <c r="AE95" s="312">
        <f t="shared" ref="AE95:AF95" si="346">(AE14*AE44)/12/21/7.5</f>
        <v>0</v>
      </c>
      <c r="AF95" s="313">
        <f t="shared" si="346"/>
        <v>0</v>
      </c>
      <c r="AG95" s="314">
        <f t="shared" si="169"/>
        <v>0</v>
      </c>
      <c r="AH95" s="312">
        <f t="shared" ref="AH95:AI95" si="347">(AH14*AH44)/12/21/7.5</f>
        <v>0</v>
      </c>
      <c r="AI95" s="313">
        <f t="shared" si="347"/>
        <v>0</v>
      </c>
      <c r="AJ95" s="314">
        <f t="shared" si="170"/>
        <v>0</v>
      </c>
      <c r="AK95" s="312">
        <f t="shared" ref="AK95:AL95" si="348">(AK14*AK44)/12/21/7.5</f>
        <v>0</v>
      </c>
      <c r="AL95" s="313">
        <f t="shared" si="348"/>
        <v>0</v>
      </c>
      <c r="AM95" s="314">
        <f t="shared" si="171"/>
        <v>0</v>
      </c>
      <c r="AN95" s="312">
        <f t="shared" ref="AN95:AO95" si="349">(AN14*AN44)/12/21/7.5</f>
        <v>0</v>
      </c>
      <c r="AO95" s="313">
        <f t="shared" si="349"/>
        <v>0</v>
      </c>
      <c r="AP95" s="314">
        <f t="shared" si="172"/>
        <v>0</v>
      </c>
      <c r="AQ95" s="312">
        <f t="shared" ref="AQ95:AR95" si="350">(AQ14*AQ44)/12/21/7.5</f>
        <v>0</v>
      </c>
      <c r="AR95" s="313">
        <f t="shared" si="350"/>
        <v>0</v>
      </c>
      <c r="AS95" s="314">
        <f t="shared" si="173"/>
        <v>0</v>
      </c>
      <c r="AT95" s="312">
        <f t="shared" ref="AT95:AU95" si="351">(AT14*AT44)/12/21/7.5</f>
        <v>0</v>
      </c>
      <c r="AU95" s="313">
        <f t="shared" si="351"/>
        <v>0</v>
      </c>
      <c r="AV95" s="314">
        <f t="shared" si="174"/>
        <v>0</v>
      </c>
      <c r="AW95" s="312">
        <f t="shared" ref="AW95:AX95" si="352">(AW14*AW44)/12/21/7.5</f>
        <v>0</v>
      </c>
      <c r="AX95" s="313">
        <f t="shared" si="352"/>
        <v>0</v>
      </c>
      <c r="AY95" s="314">
        <f t="shared" si="175"/>
        <v>0</v>
      </c>
      <c r="AZ95" s="312">
        <f t="shared" ref="AZ95:BA95" si="353">(AZ14*AZ44)/12/21/7.5</f>
        <v>0</v>
      </c>
      <c r="BA95" s="313">
        <f t="shared" si="353"/>
        <v>0</v>
      </c>
      <c r="BB95" s="314">
        <f t="shared" si="176"/>
        <v>0</v>
      </c>
      <c r="BC95" s="312">
        <f t="shared" ref="BC95:BD95" si="354">(BC14*BC44)/12/21/7.5</f>
        <v>0</v>
      </c>
      <c r="BD95" s="313">
        <f t="shared" si="354"/>
        <v>0</v>
      </c>
      <c r="BE95" s="314">
        <f t="shared" si="177"/>
        <v>0</v>
      </c>
      <c r="BF95" s="312">
        <f t="shared" ref="BF95:BG95" si="355">(BF14*BF44)/12/21/7.5</f>
        <v>0</v>
      </c>
      <c r="BG95" s="313">
        <f t="shared" si="355"/>
        <v>0</v>
      </c>
      <c r="BH95" s="314">
        <f t="shared" si="178"/>
        <v>0</v>
      </c>
      <c r="BI95" s="312">
        <f t="shared" si="200"/>
        <v>0</v>
      </c>
      <c r="BJ95" s="313">
        <f t="shared" si="200"/>
        <v>0</v>
      </c>
      <c r="BK95" s="314">
        <f t="shared" si="179"/>
        <v>0</v>
      </c>
      <c r="BL95" s="312">
        <f t="shared" si="201"/>
        <v>0</v>
      </c>
      <c r="BM95" s="313">
        <f t="shared" si="201"/>
        <v>0</v>
      </c>
      <c r="BN95" s="314">
        <f t="shared" si="180"/>
        <v>0</v>
      </c>
      <c r="BO95" s="312">
        <f t="shared" si="202"/>
        <v>0</v>
      </c>
      <c r="BP95" s="313">
        <f t="shared" si="202"/>
        <v>0</v>
      </c>
      <c r="BQ95" s="314">
        <f t="shared" si="181"/>
        <v>0</v>
      </c>
    </row>
    <row r="96" spans="1:69">
      <c r="A96" s="780" t="s">
        <v>222</v>
      </c>
      <c r="B96" s="782" t="s">
        <v>213</v>
      </c>
      <c r="C96" s="288" t="s">
        <v>164</v>
      </c>
      <c r="D96" s="289">
        <f t="shared" ref="D96:D111" si="356">SUM(G96,J96,M96,P96,S96,V96,Y96,AB96,AE96,AH96,AK96,AN96,AQ96,AT96,AW96,AZ96,AZ96,BC96,BF96,BI96,BL96,BO96)</f>
        <v>0</v>
      </c>
      <c r="E96" s="290">
        <f t="shared" si="159"/>
        <v>0</v>
      </c>
      <c r="F96" s="291">
        <f t="shared" si="160"/>
        <v>0</v>
      </c>
      <c r="G96" s="304">
        <v>0</v>
      </c>
      <c r="H96" s="305">
        <f>(G66+I66/2)*((G45-H45)*(1+$BR$45))*Faktory!$D$10</f>
        <v>0</v>
      </c>
      <c r="I96" s="255">
        <f>H96</f>
        <v>0</v>
      </c>
      <c r="J96" s="304">
        <v>0</v>
      </c>
      <c r="K96" s="305">
        <f>(J66+L66/2)*((J45-K45)*(1+$BR$45))*Faktory!$D$10</f>
        <v>0</v>
      </c>
      <c r="L96" s="255">
        <f>K96</f>
        <v>0</v>
      </c>
      <c r="M96" s="304">
        <v>0</v>
      </c>
      <c r="N96" s="305">
        <f>(M66+O66/2)*((M45-N45)*(1+$BR$45))*Faktory!$D$10</f>
        <v>0</v>
      </c>
      <c r="O96" s="255">
        <f>N96</f>
        <v>0</v>
      </c>
      <c r="P96" s="304">
        <v>0</v>
      </c>
      <c r="Q96" s="305">
        <f>(P66+R66/2)*((P45-Q45)*(1+$BR$45))*Faktory!$D$10</f>
        <v>0</v>
      </c>
      <c r="R96" s="255">
        <f>Q96</f>
        <v>0</v>
      </c>
      <c r="S96" s="304">
        <v>0</v>
      </c>
      <c r="T96" s="305">
        <f>(S66+U66/2)*((S45-T45)*(1+$BR$45))*Faktory!$D$10</f>
        <v>0</v>
      </c>
      <c r="U96" s="255">
        <f>T96</f>
        <v>0</v>
      </c>
      <c r="V96" s="304">
        <v>0</v>
      </c>
      <c r="W96" s="305">
        <f>(V66+X66/2)*((V45-W45)*(1+$BR$45))*Faktory!$D$10</f>
        <v>0</v>
      </c>
      <c r="X96" s="255">
        <f>W96</f>
        <v>0</v>
      </c>
      <c r="Y96" s="304">
        <v>0</v>
      </c>
      <c r="Z96" s="305">
        <f>(Y66+AA66/2)*((Y45-Z45)*(1+$BR$45))*Faktory!$D$10</f>
        <v>0</v>
      </c>
      <c r="AA96" s="255">
        <f>Z96</f>
        <v>0</v>
      </c>
      <c r="AB96" s="304">
        <v>0</v>
      </c>
      <c r="AC96" s="305">
        <f>(AB66+AD66/2)*((AB45-AC45)*(1+$BR$45))*Faktory!$D$10</f>
        <v>0</v>
      </c>
      <c r="AD96" s="255">
        <f>AC96</f>
        <v>0</v>
      </c>
      <c r="AE96" s="304">
        <v>0</v>
      </c>
      <c r="AF96" s="305">
        <f>(AE66+AG66/2)*((AE45-AF45)*(1+$BR$45))*Faktory!$D$10</f>
        <v>0</v>
      </c>
      <c r="AG96" s="255">
        <f>AF96</f>
        <v>0</v>
      </c>
      <c r="AH96" s="304">
        <v>0</v>
      </c>
      <c r="AI96" s="305">
        <f>(AH66+AJ66/2)*((AH45-AI45)*(1+$BR$45))*Faktory!$D$10</f>
        <v>0</v>
      </c>
      <c r="AJ96" s="255">
        <f>AI96</f>
        <v>0</v>
      </c>
      <c r="AK96" s="304">
        <v>0</v>
      </c>
      <c r="AL96" s="305">
        <f>(AK66+AM66/2)*((AK45-AL45)*(1+$BR$45))*Faktory!$D$10</f>
        <v>0</v>
      </c>
      <c r="AM96" s="255">
        <f>AL96</f>
        <v>0</v>
      </c>
      <c r="AN96" s="304">
        <v>0</v>
      </c>
      <c r="AO96" s="305">
        <f>(AN66+AP66/2)*((AN45-AO45)*(1+$BR$45))*Faktory!$D$10</f>
        <v>0</v>
      </c>
      <c r="AP96" s="255">
        <f>AO96</f>
        <v>0</v>
      </c>
      <c r="AQ96" s="304">
        <v>0</v>
      </c>
      <c r="AR96" s="305">
        <f>(AQ66+AS66/2)*((AQ45-AR45)*(1+$BR$45))*Faktory!$D$10</f>
        <v>0</v>
      </c>
      <c r="AS96" s="255">
        <f>AR96</f>
        <v>0</v>
      </c>
      <c r="AT96" s="304">
        <v>0</v>
      </c>
      <c r="AU96" s="305">
        <f>(AT66+AV66/2)*((AT45-AU45)*(1+$BR$45))*Faktory!$D$10</f>
        <v>0</v>
      </c>
      <c r="AV96" s="255">
        <f>AU96</f>
        <v>0</v>
      </c>
      <c r="AW96" s="304">
        <v>0</v>
      </c>
      <c r="AX96" s="305">
        <f>(AW66+AY66/2)*((AW45-AX45)*(1+$BR$45))*Faktory!$D$10</f>
        <v>0</v>
      </c>
      <c r="AY96" s="255">
        <f>AX96</f>
        <v>0</v>
      </c>
      <c r="AZ96" s="304">
        <v>0</v>
      </c>
      <c r="BA96" s="305">
        <f>(AZ66+BB66/2)*((AZ45-BA45)*(1+$BR$45))*Faktory!$D$10</f>
        <v>0</v>
      </c>
      <c r="BB96" s="255">
        <f>BA96</f>
        <v>0</v>
      </c>
      <c r="BC96" s="304">
        <v>0</v>
      </c>
      <c r="BD96" s="305">
        <f>(BC66+BE66/2)*((BC45-BD45)*(1+$BR$45))*Faktory!$D$10</f>
        <v>0</v>
      </c>
      <c r="BE96" s="255">
        <f>BD96</f>
        <v>0</v>
      </c>
      <c r="BF96" s="304">
        <v>0</v>
      </c>
      <c r="BG96" s="305">
        <f>(BF66+BH66/2)*((BF45-BG45)*(1+$BR$45))*Faktory!$D$10</f>
        <v>0</v>
      </c>
      <c r="BH96" s="255">
        <f>BG96</f>
        <v>0</v>
      </c>
      <c r="BI96" s="304">
        <v>0</v>
      </c>
      <c r="BJ96" s="305">
        <f>(BI66+BK66/2)*((BI45-BJ45)*(1+$BR$45))*Faktory!$D$10</f>
        <v>0</v>
      </c>
      <c r="BK96" s="255">
        <f>BJ96</f>
        <v>0</v>
      </c>
      <c r="BL96" s="304">
        <v>0</v>
      </c>
      <c r="BM96" s="305">
        <f>(BL66+BN66/2)*((BL45-BM45)*(1+$BR$45))*Faktory!$D$10</f>
        <v>0</v>
      </c>
      <c r="BN96" s="255">
        <f>BM96</f>
        <v>0</v>
      </c>
      <c r="BO96" s="304">
        <v>0</v>
      </c>
      <c r="BP96" s="305">
        <f>(BO66+BQ66/2)*((BO45-BP45)*(1+$BR$45))*Faktory!$D$10</f>
        <v>0</v>
      </c>
      <c r="BQ96" s="255">
        <f>BP96</f>
        <v>0</v>
      </c>
    </row>
    <row r="97" spans="1:69">
      <c r="A97" s="780"/>
      <c r="B97" s="782"/>
      <c r="C97" s="288" t="s">
        <v>165</v>
      </c>
      <c r="D97" s="289">
        <f t="shared" si="356"/>
        <v>0</v>
      </c>
      <c r="E97" s="290">
        <f t="shared" si="159"/>
        <v>0</v>
      </c>
      <c r="F97" s="291">
        <f t="shared" si="160"/>
        <v>0</v>
      </c>
      <c r="G97" s="296">
        <v>0</v>
      </c>
      <c r="H97" s="297">
        <f>(G67+I67/2)*((G46-H46)*(1+$BR$45))*Faktory!$D$10</f>
        <v>0</v>
      </c>
      <c r="I97" s="260">
        <f t="shared" ref="I97:I105" si="357">H97</f>
        <v>0</v>
      </c>
      <c r="J97" s="296">
        <v>0</v>
      </c>
      <c r="K97" s="297">
        <f>(J67+L67/2)*((J46-K46)*(1+$BR$45))*Faktory!$D$10</f>
        <v>0</v>
      </c>
      <c r="L97" s="260">
        <f t="shared" ref="L97:L105" si="358">K97</f>
        <v>0</v>
      </c>
      <c r="M97" s="296">
        <v>0</v>
      </c>
      <c r="N97" s="297">
        <f>(M67+O67/2)*((M46-N46)*(1+$BR$45))*Faktory!$D$10</f>
        <v>0</v>
      </c>
      <c r="O97" s="260">
        <f t="shared" ref="O97:O105" si="359">N97</f>
        <v>0</v>
      </c>
      <c r="P97" s="296">
        <v>0</v>
      </c>
      <c r="Q97" s="297">
        <f>(P67+R67/2)*((P46-Q46)*(1+$BR$45))*Faktory!$D$10</f>
        <v>0</v>
      </c>
      <c r="R97" s="260">
        <f t="shared" ref="R97:R105" si="360">Q97</f>
        <v>0</v>
      </c>
      <c r="S97" s="296">
        <v>0</v>
      </c>
      <c r="T97" s="297">
        <f>(S67+U67/2)*((S46-T46)*(1+$BR$45))*Faktory!$D$10</f>
        <v>0</v>
      </c>
      <c r="U97" s="260">
        <f t="shared" ref="U97:U105" si="361">T97</f>
        <v>0</v>
      </c>
      <c r="V97" s="296">
        <v>0</v>
      </c>
      <c r="W97" s="297">
        <f>(V67+X67/2)*((V46-W46)*(1+$BR$45))*Faktory!$D$10</f>
        <v>0</v>
      </c>
      <c r="X97" s="260">
        <f t="shared" ref="X97:X105" si="362">W97</f>
        <v>0</v>
      </c>
      <c r="Y97" s="296">
        <v>0</v>
      </c>
      <c r="Z97" s="297">
        <f>(Y67+AA67/2)*((Y46-Z46)*(1+$BR$45))*Faktory!$D$10</f>
        <v>0</v>
      </c>
      <c r="AA97" s="260">
        <f t="shared" ref="AA97:AA105" si="363">Z97</f>
        <v>0</v>
      </c>
      <c r="AB97" s="296">
        <v>0</v>
      </c>
      <c r="AC97" s="297">
        <f>(AB67+AD67/2)*((AB46-AC46)*(1+$BR$45))*Faktory!$D$10</f>
        <v>0</v>
      </c>
      <c r="AD97" s="260">
        <f t="shared" ref="AD97:AD105" si="364">AC97</f>
        <v>0</v>
      </c>
      <c r="AE97" s="296">
        <v>0</v>
      </c>
      <c r="AF97" s="297">
        <f>(AE67+AG67/2)*((AE46-AF46)*(1+$BR$45))*Faktory!$D$10</f>
        <v>0</v>
      </c>
      <c r="AG97" s="260">
        <f t="shared" ref="AG97:AG105" si="365">AF97</f>
        <v>0</v>
      </c>
      <c r="AH97" s="296">
        <v>0</v>
      </c>
      <c r="AI97" s="297">
        <f>(AH67+AJ67/2)*((AH46-AI46)*(1+$BR$45))*Faktory!$D$10</f>
        <v>0</v>
      </c>
      <c r="AJ97" s="260">
        <f t="shared" ref="AJ97:AJ105" si="366">AI97</f>
        <v>0</v>
      </c>
      <c r="AK97" s="296">
        <v>0</v>
      </c>
      <c r="AL97" s="297">
        <f>(AK67+AM67/2)*((AK46-AL46)*(1+$BR$45))*Faktory!$D$10</f>
        <v>0</v>
      </c>
      <c r="AM97" s="260">
        <f t="shared" ref="AM97:AM105" si="367">AL97</f>
        <v>0</v>
      </c>
      <c r="AN97" s="296">
        <v>0</v>
      </c>
      <c r="AO97" s="297">
        <f>(AN67+AP67/2)*((AN46-AO46)*(1+$BR$45))*Faktory!$D$10</f>
        <v>0</v>
      </c>
      <c r="AP97" s="260">
        <f t="shared" ref="AP97:AP105" si="368">AO97</f>
        <v>0</v>
      </c>
      <c r="AQ97" s="296">
        <v>0</v>
      </c>
      <c r="AR97" s="297">
        <f>(AQ67+AS67/2)*((AQ46-AR46)*(1+$BR$45))*Faktory!$D$10</f>
        <v>0</v>
      </c>
      <c r="AS97" s="260">
        <f t="shared" ref="AS97:AS105" si="369">AR97</f>
        <v>0</v>
      </c>
      <c r="AT97" s="296">
        <v>0</v>
      </c>
      <c r="AU97" s="297">
        <f>(AT67+AV67/2)*((AT46-AU46)*(1+$BR$45))*Faktory!$D$10</f>
        <v>0</v>
      </c>
      <c r="AV97" s="260">
        <f t="shared" ref="AV97:AV105" si="370">AU97</f>
        <v>0</v>
      </c>
      <c r="AW97" s="296">
        <v>0</v>
      </c>
      <c r="AX97" s="297">
        <f>(AW67+AY67/2)*((AW46-AX46)*(1+$BR$45))*Faktory!$D$10</f>
        <v>0</v>
      </c>
      <c r="AY97" s="260">
        <f t="shared" ref="AY97:AY105" si="371">AX97</f>
        <v>0</v>
      </c>
      <c r="AZ97" s="296">
        <v>0</v>
      </c>
      <c r="BA97" s="297">
        <f>(AZ67+BB67/2)*((AZ46-BA46)*(1+$BR$45))*Faktory!$D$10</f>
        <v>0</v>
      </c>
      <c r="BB97" s="260">
        <f t="shared" ref="BB97:BB105" si="372">BA97</f>
        <v>0</v>
      </c>
      <c r="BC97" s="296">
        <v>0</v>
      </c>
      <c r="BD97" s="297">
        <f>(BC67+BE67/2)*((BC46-BD46)*(1+$BR$45))*Faktory!$D$10</f>
        <v>0</v>
      </c>
      <c r="BE97" s="260">
        <f t="shared" ref="BE97:BE105" si="373">BD97</f>
        <v>0</v>
      </c>
      <c r="BF97" s="296">
        <v>0</v>
      </c>
      <c r="BG97" s="297">
        <f>(BF67+BH67/2)*((BF46-BG46)*(1+$BR$45))*Faktory!$D$10</f>
        <v>0</v>
      </c>
      <c r="BH97" s="260">
        <f t="shared" ref="BH97:BH105" si="374">BG97</f>
        <v>0</v>
      </c>
      <c r="BI97" s="296">
        <v>0</v>
      </c>
      <c r="BJ97" s="297">
        <f>(BI67+BK67/2)*((BI46-BJ46)*(1+$BR$45))*Faktory!$D$10</f>
        <v>0</v>
      </c>
      <c r="BK97" s="260">
        <f t="shared" ref="BK97:BK105" si="375">BJ97</f>
        <v>0</v>
      </c>
      <c r="BL97" s="296">
        <v>0</v>
      </c>
      <c r="BM97" s="297">
        <f>(BL67+BN67/2)*((BL46-BM46)*(1+$BR$45))*Faktory!$D$10</f>
        <v>0</v>
      </c>
      <c r="BN97" s="260">
        <f t="shared" ref="BN97:BN105" si="376">BM97</f>
        <v>0</v>
      </c>
      <c r="BO97" s="296">
        <v>0</v>
      </c>
      <c r="BP97" s="297">
        <f>(BO67+BQ67/2)*((BO46-BP46)*(1+$BR$45))*Faktory!$D$10</f>
        <v>0</v>
      </c>
      <c r="BQ97" s="260">
        <f t="shared" ref="BQ97:BQ105" si="377">BP97</f>
        <v>0</v>
      </c>
    </row>
    <row r="98" spans="1:69">
      <c r="A98" s="780"/>
      <c r="B98" s="782"/>
      <c r="C98" s="288" t="s">
        <v>166</v>
      </c>
      <c r="D98" s="289">
        <f t="shared" si="356"/>
        <v>0</v>
      </c>
      <c r="E98" s="290">
        <f t="shared" si="159"/>
        <v>0</v>
      </c>
      <c r="F98" s="291">
        <f t="shared" si="160"/>
        <v>0</v>
      </c>
      <c r="G98" s="296">
        <v>0</v>
      </c>
      <c r="H98" s="297">
        <f>(G68+I68/2)*((G47-H47)*(1+$BR$45))*Faktory!$D$10</f>
        <v>0</v>
      </c>
      <c r="I98" s="260">
        <f t="shared" si="357"/>
        <v>0</v>
      </c>
      <c r="J98" s="296">
        <v>0</v>
      </c>
      <c r="K98" s="297">
        <f>(J68+L68/2)*((J47-K47)*(1+$BR$45))*Faktory!$D$10</f>
        <v>0</v>
      </c>
      <c r="L98" s="260">
        <f t="shared" si="358"/>
        <v>0</v>
      </c>
      <c r="M98" s="296">
        <v>0</v>
      </c>
      <c r="N98" s="297">
        <f>(M68+O68/2)*((M47-N47)*(1+$BR$45))*Faktory!$D$10</f>
        <v>0</v>
      </c>
      <c r="O98" s="260">
        <f t="shared" si="359"/>
        <v>0</v>
      </c>
      <c r="P98" s="296">
        <v>0</v>
      </c>
      <c r="Q98" s="297">
        <f>(P68+R68/2)*((P47-Q47)*(1+$BR$45))*Faktory!$D$10</f>
        <v>0</v>
      </c>
      <c r="R98" s="260">
        <f t="shared" si="360"/>
        <v>0</v>
      </c>
      <c r="S98" s="296">
        <v>0</v>
      </c>
      <c r="T98" s="297">
        <f>(S68+U68/2)*((S47-T47)*(1+$BR$45))*Faktory!$D$10</f>
        <v>0</v>
      </c>
      <c r="U98" s="260">
        <f t="shared" si="361"/>
        <v>0</v>
      </c>
      <c r="V98" s="296">
        <v>0</v>
      </c>
      <c r="W98" s="297">
        <f>(V68+X68/2)*((V47-W47)*(1+$BR$45))*Faktory!$D$10</f>
        <v>0</v>
      </c>
      <c r="X98" s="260">
        <f t="shared" si="362"/>
        <v>0</v>
      </c>
      <c r="Y98" s="296">
        <v>0</v>
      </c>
      <c r="Z98" s="297">
        <f>(Y68+AA68/2)*((Y47-Z47)*(1+$BR$45))*Faktory!$D$10</f>
        <v>0</v>
      </c>
      <c r="AA98" s="260">
        <f t="shared" si="363"/>
        <v>0</v>
      </c>
      <c r="AB98" s="296">
        <v>0</v>
      </c>
      <c r="AC98" s="297">
        <f>(AB68+AD68/2)*((AB47-AC47)*(1+$BR$45))*Faktory!$D$10</f>
        <v>0</v>
      </c>
      <c r="AD98" s="260">
        <f t="shared" si="364"/>
        <v>0</v>
      </c>
      <c r="AE98" s="296">
        <v>0</v>
      </c>
      <c r="AF98" s="297">
        <f>(AE68+AG68/2)*((AE47-AF47)*(1+$BR$45))*Faktory!$D$10</f>
        <v>0</v>
      </c>
      <c r="AG98" s="260">
        <f t="shared" si="365"/>
        <v>0</v>
      </c>
      <c r="AH98" s="296">
        <v>0</v>
      </c>
      <c r="AI98" s="297">
        <f>(AH68+AJ68/2)*((AH47-AI47)*(1+$BR$45))*Faktory!$D$10</f>
        <v>0</v>
      </c>
      <c r="AJ98" s="260">
        <f t="shared" si="366"/>
        <v>0</v>
      </c>
      <c r="AK98" s="296">
        <v>0</v>
      </c>
      <c r="AL98" s="297">
        <f>(AK68+AM68/2)*((AK47-AL47)*(1+$BR$45))*Faktory!$D$10</f>
        <v>0</v>
      </c>
      <c r="AM98" s="260">
        <f t="shared" si="367"/>
        <v>0</v>
      </c>
      <c r="AN98" s="296">
        <v>0</v>
      </c>
      <c r="AO98" s="297">
        <f>(AN68+AP68/2)*((AN47-AO47)*(1+$BR$45))*Faktory!$D$10</f>
        <v>0</v>
      </c>
      <c r="AP98" s="260">
        <f t="shared" si="368"/>
        <v>0</v>
      </c>
      <c r="AQ98" s="296">
        <v>0</v>
      </c>
      <c r="AR98" s="297">
        <f>(AQ68+AS68/2)*((AQ47-AR47)*(1+$BR$45))*Faktory!$D$10</f>
        <v>0</v>
      </c>
      <c r="AS98" s="260">
        <f t="shared" si="369"/>
        <v>0</v>
      </c>
      <c r="AT98" s="296">
        <v>0</v>
      </c>
      <c r="AU98" s="297">
        <f>(AT68+AV68/2)*((AT47-AU47)*(1+$BR$45))*Faktory!$D$10</f>
        <v>0</v>
      </c>
      <c r="AV98" s="260">
        <f t="shared" si="370"/>
        <v>0</v>
      </c>
      <c r="AW98" s="296">
        <v>0</v>
      </c>
      <c r="AX98" s="297">
        <f>(AW68+AY68/2)*((AW47-AX47)*(1+$BR$45))*Faktory!$D$10</f>
        <v>0</v>
      </c>
      <c r="AY98" s="260">
        <f t="shared" si="371"/>
        <v>0</v>
      </c>
      <c r="AZ98" s="296">
        <v>0</v>
      </c>
      <c r="BA98" s="297">
        <f>(AZ68+BB68/2)*((AZ47-BA47)*(1+$BR$45))*Faktory!$D$10</f>
        <v>0</v>
      </c>
      <c r="BB98" s="260">
        <f t="shared" si="372"/>
        <v>0</v>
      </c>
      <c r="BC98" s="296">
        <v>0</v>
      </c>
      <c r="BD98" s="297">
        <f>(BC68+BE68/2)*((BC47-BD47)*(1+$BR$45))*Faktory!$D$10</f>
        <v>0</v>
      </c>
      <c r="BE98" s="260">
        <f t="shared" si="373"/>
        <v>0</v>
      </c>
      <c r="BF98" s="296">
        <v>0</v>
      </c>
      <c r="BG98" s="297">
        <f>(BF68+BH68/2)*((BF47-BG47)*(1+$BR$45))*Faktory!$D$10</f>
        <v>0</v>
      </c>
      <c r="BH98" s="260">
        <f t="shared" si="374"/>
        <v>0</v>
      </c>
      <c r="BI98" s="296">
        <v>0</v>
      </c>
      <c r="BJ98" s="297">
        <f>(BI68+BK68/2)*((BI47-BJ47)*(1+$BR$45))*Faktory!$D$10</f>
        <v>0</v>
      </c>
      <c r="BK98" s="260">
        <f t="shared" si="375"/>
        <v>0</v>
      </c>
      <c r="BL98" s="296">
        <v>0</v>
      </c>
      <c r="BM98" s="297">
        <f>(BL68+BN68/2)*((BL47-BM47)*(1+$BR$45))*Faktory!$D$10</f>
        <v>0</v>
      </c>
      <c r="BN98" s="260">
        <f t="shared" si="376"/>
        <v>0</v>
      </c>
      <c r="BO98" s="296">
        <v>0</v>
      </c>
      <c r="BP98" s="297">
        <f>(BO68+BQ68/2)*((BO47-BP47)*(1+$BR$45))*Faktory!$D$10</f>
        <v>0</v>
      </c>
      <c r="BQ98" s="260">
        <f t="shared" si="377"/>
        <v>0</v>
      </c>
    </row>
    <row r="99" spans="1:69">
      <c r="A99" s="780"/>
      <c r="B99" s="782"/>
      <c r="C99" s="288" t="s">
        <v>167</v>
      </c>
      <c r="D99" s="289">
        <f t="shared" si="356"/>
        <v>0</v>
      </c>
      <c r="E99" s="290">
        <f t="shared" si="159"/>
        <v>0</v>
      </c>
      <c r="F99" s="291">
        <f t="shared" si="160"/>
        <v>0</v>
      </c>
      <c r="G99" s="296">
        <v>0</v>
      </c>
      <c r="H99" s="297">
        <f>(G69+I69/2)*((G48-H48)*(1+$BR$45))*Faktory!$D$10</f>
        <v>0</v>
      </c>
      <c r="I99" s="260">
        <f t="shared" si="357"/>
        <v>0</v>
      </c>
      <c r="J99" s="296">
        <v>0</v>
      </c>
      <c r="K99" s="297">
        <f>(J69+L69/2)*((J48-K48)*(1+$BR$45))*Faktory!$D$10</f>
        <v>0</v>
      </c>
      <c r="L99" s="260">
        <f t="shared" si="358"/>
        <v>0</v>
      </c>
      <c r="M99" s="296">
        <v>0</v>
      </c>
      <c r="N99" s="297">
        <f>(M69+O69/2)*((M48-N48)*(1+$BR$45))*Faktory!$D$10</f>
        <v>0</v>
      </c>
      <c r="O99" s="260">
        <f t="shared" si="359"/>
        <v>0</v>
      </c>
      <c r="P99" s="296">
        <v>0</v>
      </c>
      <c r="Q99" s="297">
        <f>(P69+R69/2)*((P48-Q48)*(1+$BR$45))*Faktory!$D$10</f>
        <v>0</v>
      </c>
      <c r="R99" s="260">
        <f t="shared" si="360"/>
        <v>0</v>
      </c>
      <c r="S99" s="296">
        <v>0</v>
      </c>
      <c r="T99" s="297">
        <f>(S69+U69/2)*((S48-T48)*(1+$BR$45))*Faktory!$D$10</f>
        <v>0</v>
      </c>
      <c r="U99" s="260">
        <f t="shared" si="361"/>
        <v>0</v>
      </c>
      <c r="V99" s="296">
        <v>0</v>
      </c>
      <c r="W99" s="297">
        <f>(V69+X69/2)*((V48-W48)*(1+$BR$45))*Faktory!$D$10</f>
        <v>0</v>
      </c>
      <c r="X99" s="260">
        <f t="shared" si="362"/>
        <v>0</v>
      </c>
      <c r="Y99" s="296">
        <v>0</v>
      </c>
      <c r="Z99" s="297">
        <f>(Y69+AA69/2)*((Y48-Z48)*(1+$BR$45))*Faktory!$D$10</f>
        <v>0</v>
      </c>
      <c r="AA99" s="260">
        <f t="shared" si="363"/>
        <v>0</v>
      </c>
      <c r="AB99" s="296">
        <v>0</v>
      </c>
      <c r="AC99" s="297">
        <f>(AB69+AD69/2)*((AB48-AC48)*(1+$BR$45))*Faktory!$D$10</f>
        <v>0</v>
      </c>
      <c r="AD99" s="260">
        <f t="shared" si="364"/>
        <v>0</v>
      </c>
      <c r="AE99" s="296">
        <v>0</v>
      </c>
      <c r="AF99" s="297">
        <f>(AE69+AG69/2)*((AE48-AF48)*(1+$BR$45))*Faktory!$D$10</f>
        <v>0</v>
      </c>
      <c r="AG99" s="260">
        <f t="shared" si="365"/>
        <v>0</v>
      </c>
      <c r="AH99" s="296">
        <v>0</v>
      </c>
      <c r="AI99" s="297">
        <f>(AH69+AJ69/2)*((AH48-AI48)*(1+$BR$45))*Faktory!$D$10</f>
        <v>0</v>
      </c>
      <c r="AJ99" s="260">
        <f t="shared" si="366"/>
        <v>0</v>
      </c>
      <c r="AK99" s="296">
        <v>0</v>
      </c>
      <c r="AL99" s="297">
        <f>(AK69+AM69/2)*((AK48-AL48)*(1+$BR$45))*Faktory!$D$10</f>
        <v>0</v>
      </c>
      <c r="AM99" s="260">
        <f t="shared" si="367"/>
        <v>0</v>
      </c>
      <c r="AN99" s="296">
        <v>0</v>
      </c>
      <c r="AO99" s="297">
        <f>(AN69+AP69/2)*((AN48-AO48)*(1+$BR$45))*Faktory!$D$10</f>
        <v>0</v>
      </c>
      <c r="AP99" s="260">
        <f t="shared" si="368"/>
        <v>0</v>
      </c>
      <c r="AQ99" s="296">
        <v>0</v>
      </c>
      <c r="AR99" s="297">
        <f>(AQ69+AS69/2)*((AQ48-AR48)*(1+$BR$45))*Faktory!$D$10</f>
        <v>0</v>
      </c>
      <c r="AS99" s="260">
        <f t="shared" si="369"/>
        <v>0</v>
      </c>
      <c r="AT99" s="296">
        <v>0</v>
      </c>
      <c r="AU99" s="297">
        <f>(AT69+AV69/2)*((AT48-AU48)*(1+$BR$45))*Faktory!$D$10</f>
        <v>0</v>
      </c>
      <c r="AV99" s="260">
        <f t="shared" si="370"/>
        <v>0</v>
      </c>
      <c r="AW99" s="296">
        <v>0</v>
      </c>
      <c r="AX99" s="297">
        <f>(AW69+AY69/2)*((AW48-AX48)*(1+$BR$45))*Faktory!$D$10</f>
        <v>0</v>
      </c>
      <c r="AY99" s="260">
        <f t="shared" si="371"/>
        <v>0</v>
      </c>
      <c r="AZ99" s="296">
        <v>0</v>
      </c>
      <c r="BA99" s="297">
        <f>(AZ69+BB69/2)*((AZ48-BA48)*(1+$BR$45))*Faktory!$D$10</f>
        <v>0</v>
      </c>
      <c r="BB99" s="260">
        <f t="shared" si="372"/>
        <v>0</v>
      </c>
      <c r="BC99" s="296">
        <v>0</v>
      </c>
      <c r="BD99" s="297">
        <f>(BC69+BE69/2)*((BC48-BD48)*(1+$BR$45))*Faktory!$D$10</f>
        <v>0</v>
      </c>
      <c r="BE99" s="260">
        <f t="shared" si="373"/>
        <v>0</v>
      </c>
      <c r="BF99" s="296">
        <v>0</v>
      </c>
      <c r="BG99" s="297">
        <f>(BF69+BH69/2)*((BF48-BG48)*(1+$BR$45))*Faktory!$D$10</f>
        <v>0</v>
      </c>
      <c r="BH99" s="260">
        <f t="shared" si="374"/>
        <v>0</v>
      </c>
      <c r="BI99" s="296">
        <v>0</v>
      </c>
      <c r="BJ99" s="297">
        <f>(BI69+BK69/2)*((BI48-BJ48)*(1+$BR$45))*Faktory!$D$10</f>
        <v>0</v>
      </c>
      <c r="BK99" s="260">
        <f t="shared" si="375"/>
        <v>0</v>
      </c>
      <c r="BL99" s="296">
        <v>0</v>
      </c>
      <c r="BM99" s="297">
        <f>(BL69+BN69/2)*((BL48-BM48)*(1+$BR$45))*Faktory!$D$10</f>
        <v>0</v>
      </c>
      <c r="BN99" s="260">
        <f t="shared" si="376"/>
        <v>0</v>
      </c>
      <c r="BO99" s="296">
        <v>0</v>
      </c>
      <c r="BP99" s="297">
        <f>(BO69+BQ69/2)*((BO48-BP48)*(1+$BR$45))*Faktory!$D$10</f>
        <v>0</v>
      </c>
      <c r="BQ99" s="260">
        <f t="shared" si="377"/>
        <v>0</v>
      </c>
    </row>
    <row r="100" spans="1:69">
      <c r="A100" s="780"/>
      <c r="B100" s="782"/>
      <c r="C100" s="288" t="s">
        <v>168</v>
      </c>
      <c r="D100" s="289">
        <f t="shared" si="356"/>
        <v>0</v>
      </c>
      <c r="E100" s="290">
        <f t="shared" si="159"/>
        <v>0</v>
      </c>
      <c r="F100" s="291">
        <f t="shared" si="160"/>
        <v>0</v>
      </c>
      <c r="G100" s="296">
        <v>0</v>
      </c>
      <c r="H100" s="297">
        <f>(G70+I70/2)*((G49-H49)*(1+$BR$45))*Faktory!$D$10</f>
        <v>0</v>
      </c>
      <c r="I100" s="260">
        <f t="shared" si="357"/>
        <v>0</v>
      </c>
      <c r="J100" s="296">
        <v>0</v>
      </c>
      <c r="K100" s="297">
        <f>(J70+L70/2)*((J49-K49)*(1+$BR$45))*Faktory!$D$10</f>
        <v>0</v>
      </c>
      <c r="L100" s="260">
        <f t="shared" si="358"/>
        <v>0</v>
      </c>
      <c r="M100" s="296">
        <v>0</v>
      </c>
      <c r="N100" s="297">
        <f>(M70+O70/2)*((M49-N49)*(1+$BR$45))*Faktory!$D$10</f>
        <v>0</v>
      </c>
      <c r="O100" s="260">
        <f t="shared" si="359"/>
        <v>0</v>
      </c>
      <c r="P100" s="296">
        <v>0</v>
      </c>
      <c r="Q100" s="297">
        <f>(P70+R70/2)*((P49-Q49)*(1+$BR$45))*Faktory!$D$10</f>
        <v>0</v>
      </c>
      <c r="R100" s="260">
        <f t="shared" si="360"/>
        <v>0</v>
      </c>
      <c r="S100" s="296">
        <v>0</v>
      </c>
      <c r="T100" s="297">
        <f>(S70+U70/2)*((S49-T49)*(1+$BR$45))*Faktory!$D$10</f>
        <v>0</v>
      </c>
      <c r="U100" s="260">
        <f t="shared" si="361"/>
        <v>0</v>
      </c>
      <c r="V100" s="296">
        <v>0</v>
      </c>
      <c r="W100" s="297">
        <f>(V70+X70/2)*((V49-W49)*(1+$BR$45))*Faktory!$D$10</f>
        <v>0</v>
      </c>
      <c r="X100" s="260">
        <f t="shared" si="362"/>
        <v>0</v>
      </c>
      <c r="Y100" s="296">
        <v>0</v>
      </c>
      <c r="Z100" s="297">
        <f>(Y70+AA70/2)*((Y49-Z49)*(1+$BR$45))*Faktory!$D$10</f>
        <v>0</v>
      </c>
      <c r="AA100" s="260">
        <f t="shared" si="363"/>
        <v>0</v>
      </c>
      <c r="AB100" s="296">
        <v>0</v>
      </c>
      <c r="AC100" s="297">
        <f>(AB70+AD70/2)*((AB49-AC49)*(1+$BR$45))*Faktory!$D$10</f>
        <v>0</v>
      </c>
      <c r="AD100" s="260">
        <f t="shared" si="364"/>
        <v>0</v>
      </c>
      <c r="AE100" s="296">
        <v>0</v>
      </c>
      <c r="AF100" s="297">
        <f>(AE70+AG70/2)*((AE49-AF49)*(1+$BR$45))*Faktory!$D$10</f>
        <v>0</v>
      </c>
      <c r="AG100" s="260">
        <f t="shared" si="365"/>
        <v>0</v>
      </c>
      <c r="AH100" s="296">
        <v>0</v>
      </c>
      <c r="AI100" s="297">
        <f>(AH70+AJ70/2)*((AH49-AI49)*(1+$BR$45))*Faktory!$D$10</f>
        <v>0</v>
      </c>
      <c r="AJ100" s="260">
        <f t="shared" si="366"/>
        <v>0</v>
      </c>
      <c r="AK100" s="296">
        <v>0</v>
      </c>
      <c r="AL100" s="297">
        <f>(AK70+AM70/2)*((AK49-AL49)*(1+$BR$45))*Faktory!$D$10</f>
        <v>0</v>
      </c>
      <c r="AM100" s="260">
        <f t="shared" si="367"/>
        <v>0</v>
      </c>
      <c r="AN100" s="296">
        <v>0</v>
      </c>
      <c r="AO100" s="297">
        <f>(AN70+AP70/2)*((AN49-AO49)*(1+$BR$45))*Faktory!$D$10</f>
        <v>0</v>
      </c>
      <c r="AP100" s="260">
        <f t="shared" si="368"/>
        <v>0</v>
      </c>
      <c r="AQ100" s="296">
        <v>0</v>
      </c>
      <c r="AR100" s="297">
        <f>(AQ70+AS70/2)*((AQ49-AR49)*(1+$BR$45))*Faktory!$D$10</f>
        <v>0</v>
      </c>
      <c r="AS100" s="260">
        <f t="shared" si="369"/>
        <v>0</v>
      </c>
      <c r="AT100" s="296">
        <v>0</v>
      </c>
      <c r="AU100" s="297">
        <f>(AT70+AV70/2)*((AT49-AU49)*(1+$BR$45))*Faktory!$D$10</f>
        <v>0</v>
      </c>
      <c r="AV100" s="260">
        <f t="shared" si="370"/>
        <v>0</v>
      </c>
      <c r="AW100" s="296">
        <v>0</v>
      </c>
      <c r="AX100" s="297">
        <f>(AW70+AY70/2)*((AW49-AX49)*(1+$BR$45))*Faktory!$D$10</f>
        <v>0</v>
      </c>
      <c r="AY100" s="260">
        <f t="shared" si="371"/>
        <v>0</v>
      </c>
      <c r="AZ100" s="296">
        <v>0</v>
      </c>
      <c r="BA100" s="297">
        <f>(AZ70+BB70/2)*((AZ49-BA49)*(1+$BR$45))*Faktory!$D$10</f>
        <v>0</v>
      </c>
      <c r="BB100" s="260">
        <f t="shared" si="372"/>
        <v>0</v>
      </c>
      <c r="BC100" s="296">
        <v>0</v>
      </c>
      <c r="BD100" s="297">
        <f>(BC70+BE70/2)*((BC49-BD49)*(1+$BR$45))*Faktory!$D$10</f>
        <v>0</v>
      </c>
      <c r="BE100" s="260">
        <f t="shared" si="373"/>
        <v>0</v>
      </c>
      <c r="BF100" s="296">
        <v>0</v>
      </c>
      <c r="BG100" s="297">
        <f>(BF70+BH70/2)*((BF49-BG49)*(1+$BR$45))*Faktory!$D$10</f>
        <v>0</v>
      </c>
      <c r="BH100" s="260">
        <f t="shared" si="374"/>
        <v>0</v>
      </c>
      <c r="BI100" s="296">
        <v>0</v>
      </c>
      <c r="BJ100" s="297">
        <f>(BI70+BK70/2)*((BI49-BJ49)*(1+$BR$45))*Faktory!$D$10</f>
        <v>0</v>
      </c>
      <c r="BK100" s="260">
        <f t="shared" si="375"/>
        <v>0</v>
      </c>
      <c r="BL100" s="296">
        <v>0</v>
      </c>
      <c r="BM100" s="297">
        <f>(BL70+BN70/2)*((BL49-BM49)*(1+$BR$45))*Faktory!$D$10</f>
        <v>0</v>
      </c>
      <c r="BN100" s="260">
        <f t="shared" si="376"/>
        <v>0</v>
      </c>
      <c r="BO100" s="296">
        <v>0</v>
      </c>
      <c r="BP100" s="297">
        <f>(BO70+BQ70/2)*((BO49-BP49)*(1+$BR$45))*Faktory!$D$10</f>
        <v>0</v>
      </c>
      <c r="BQ100" s="260">
        <f t="shared" si="377"/>
        <v>0</v>
      </c>
    </row>
    <row r="101" spans="1:69">
      <c r="A101" s="780"/>
      <c r="B101" s="782"/>
      <c r="C101" s="288" t="s">
        <v>169</v>
      </c>
      <c r="D101" s="289">
        <f t="shared" si="356"/>
        <v>0</v>
      </c>
      <c r="E101" s="290">
        <f t="shared" si="159"/>
        <v>0</v>
      </c>
      <c r="F101" s="291">
        <f t="shared" si="160"/>
        <v>0</v>
      </c>
      <c r="G101" s="296">
        <v>0</v>
      </c>
      <c r="H101" s="297">
        <f>(G71+I71/2)*((G50-H50)*(1+$BR$45))*Faktory!$D$10</f>
        <v>0</v>
      </c>
      <c r="I101" s="260">
        <f t="shared" si="357"/>
        <v>0</v>
      </c>
      <c r="J101" s="296">
        <v>0</v>
      </c>
      <c r="K101" s="297">
        <f>(J71+L71/2)*((J50-K50)*(1+$BR$45))*Faktory!$D$10</f>
        <v>0</v>
      </c>
      <c r="L101" s="260">
        <f t="shared" si="358"/>
        <v>0</v>
      </c>
      <c r="M101" s="296">
        <v>0</v>
      </c>
      <c r="N101" s="297">
        <f>(M71+O71/2)*((M50-N50)*(1+$BR$45))*Faktory!$D$10</f>
        <v>0</v>
      </c>
      <c r="O101" s="260">
        <f t="shared" si="359"/>
        <v>0</v>
      </c>
      <c r="P101" s="296">
        <v>0</v>
      </c>
      <c r="Q101" s="297">
        <f>(P71+R71/2)*((P50-Q50)*(1+$BR$45))*Faktory!$D$10</f>
        <v>0</v>
      </c>
      <c r="R101" s="260">
        <f t="shared" si="360"/>
        <v>0</v>
      </c>
      <c r="S101" s="296">
        <v>0</v>
      </c>
      <c r="T101" s="297">
        <f>(S71+U71/2)*((S50-T50)*(1+$BR$45))*Faktory!$D$10</f>
        <v>0</v>
      </c>
      <c r="U101" s="260">
        <f t="shared" si="361"/>
        <v>0</v>
      </c>
      <c r="V101" s="296">
        <v>0</v>
      </c>
      <c r="W101" s="297">
        <f>(V71+X71/2)*((V50-W50)*(1+$BR$45))*Faktory!$D$10</f>
        <v>0</v>
      </c>
      <c r="X101" s="260">
        <f t="shared" si="362"/>
        <v>0</v>
      </c>
      <c r="Y101" s="296">
        <v>0</v>
      </c>
      <c r="Z101" s="297">
        <f>(Y71+AA71/2)*((Y50-Z50)*(1+$BR$45))*Faktory!$D$10</f>
        <v>0</v>
      </c>
      <c r="AA101" s="260">
        <f t="shared" si="363"/>
        <v>0</v>
      </c>
      <c r="AB101" s="296">
        <v>0</v>
      </c>
      <c r="AC101" s="297">
        <f>(AB71+AD71/2)*((AB50-AC50)*(1+$BR$45))*Faktory!$D$10</f>
        <v>0</v>
      </c>
      <c r="AD101" s="260">
        <f t="shared" si="364"/>
        <v>0</v>
      </c>
      <c r="AE101" s="296">
        <v>0</v>
      </c>
      <c r="AF101" s="297">
        <f>(AE71+AG71/2)*((AE50-AF50)*(1+$BR$45))*Faktory!$D$10</f>
        <v>0</v>
      </c>
      <c r="AG101" s="260">
        <f t="shared" si="365"/>
        <v>0</v>
      </c>
      <c r="AH101" s="296">
        <v>0</v>
      </c>
      <c r="AI101" s="297">
        <f>(AH71+AJ71/2)*((AH50-AI50)*(1+$BR$45))*Faktory!$D$10</f>
        <v>0</v>
      </c>
      <c r="AJ101" s="260">
        <f t="shared" si="366"/>
        <v>0</v>
      </c>
      <c r="AK101" s="296">
        <v>0</v>
      </c>
      <c r="AL101" s="297">
        <f>(AK71+AM71/2)*((AK50-AL50)*(1+$BR$45))*Faktory!$D$10</f>
        <v>0</v>
      </c>
      <c r="AM101" s="260">
        <f t="shared" si="367"/>
        <v>0</v>
      </c>
      <c r="AN101" s="296">
        <v>0</v>
      </c>
      <c r="AO101" s="297">
        <f>(AN71+AP71/2)*((AN50-AO50)*(1+$BR$45))*Faktory!$D$10</f>
        <v>0</v>
      </c>
      <c r="AP101" s="260">
        <f t="shared" si="368"/>
        <v>0</v>
      </c>
      <c r="AQ101" s="296">
        <v>0</v>
      </c>
      <c r="AR101" s="297">
        <f>(AQ71+AS71/2)*((AQ50-AR50)*(1+$BR$45))*Faktory!$D$10</f>
        <v>0</v>
      </c>
      <c r="AS101" s="260">
        <f t="shared" si="369"/>
        <v>0</v>
      </c>
      <c r="AT101" s="296">
        <v>0</v>
      </c>
      <c r="AU101" s="297">
        <f>(AT71+AV71/2)*((AT50-AU50)*(1+$BR$45))*Faktory!$D$10</f>
        <v>0</v>
      </c>
      <c r="AV101" s="260">
        <f t="shared" si="370"/>
        <v>0</v>
      </c>
      <c r="AW101" s="296">
        <v>0</v>
      </c>
      <c r="AX101" s="297">
        <f>(AW71+AY71/2)*((AW50-AX50)*(1+$BR$45))*Faktory!$D$10</f>
        <v>0</v>
      </c>
      <c r="AY101" s="260">
        <f t="shared" si="371"/>
        <v>0</v>
      </c>
      <c r="AZ101" s="296">
        <v>0</v>
      </c>
      <c r="BA101" s="297">
        <f>(AZ71+BB71/2)*((AZ50-BA50)*(1+$BR$45))*Faktory!$D$10</f>
        <v>0</v>
      </c>
      <c r="BB101" s="260">
        <f t="shared" si="372"/>
        <v>0</v>
      </c>
      <c r="BC101" s="296">
        <v>0</v>
      </c>
      <c r="BD101" s="297">
        <f>(BC71+BE71/2)*((BC50-BD50)*(1+$BR$45))*Faktory!$D$10</f>
        <v>0</v>
      </c>
      <c r="BE101" s="260">
        <f t="shared" si="373"/>
        <v>0</v>
      </c>
      <c r="BF101" s="296">
        <v>0</v>
      </c>
      <c r="BG101" s="297">
        <f>(BF71+BH71/2)*((BF50-BG50)*(1+$BR$45))*Faktory!$D$10</f>
        <v>0</v>
      </c>
      <c r="BH101" s="260">
        <f t="shared" si="374"/>
        <v>0</v>
      </c>
      <c r="BI101" s="296">
        <v>0</v>
      </c>
      <c r="BJ101" s="297">
        <f>(BI71+BK71/2)*((BI50-BJ50)*(1+$BR$45))*Faktory!$D$10</f>
        <v>0</v>
      </c>
      <c r="BK101" s="260">
        <f t="shared" si="375"/>
        <v>0</v>
      </c>
      <c r="BL101" s="296">
        <v>0</v>
      </c>
      <c r="BM101" s="297">
        <f>(BL71+BN71/2)*((BL50-BM50)*(1+$BR$45))*Faktory!$D$10</f>
        <v>0</v>
      </c>
      <c r="BN101" s="260">
        <f t="shared" si="376"/>
        <v>0</v>
      </c>
      <c r="BO101" s="296">
        <v>0</v>
      </c>
      <c r="BP101" s="297">
        <f>(BO71+BQ71/2)*((BO50-BP50)*(1+$BR$45))*Faktory!$D$10</f>
        <v>0</v>
      </c>
      <c r="BQ101" s="260">
        <f t="shared" si="377"/>
        <v>0</v>
      </c>
    </row>
    <row r="102" spans="1:69">
      <c r="A102" s="780"/>
      <c r="B102" s="782"/>
      <c r="C102" s="288" t="s">
        <v>170</v>
      </c>
      <c r="D102" s="289">
        <f t="shared" si="356"/>
        <v>0</v>
      </c>
      <c r="E102" s="290">
        <f t="shared" si="159"/>
        <v>0</v>
      </c>
      <c r="F102" s="291">
        <f t="shared" si="160"/>
        <v>0</v>
      </c>
      <c r="G102" s="296">
        <v>0</v>
      </c>
      <c r="H102" s="297">
        <f>(G72+I72/2)*((G51-H51)*(1+$BR$45))*Faktory!$D$10</f>
        <v>0</v>
      </c>
      <c r="I102" s="260">
        <f t="shared" si="357"/>
        <v>0</v>
      </c>
      <c r="J102" s="296">
        <v>0</v>
      </c>
      <c r="K102" s="297">
        <f>(J72+L72/2)*((J51-K51)*(1+$BR$45))*Faktory!$D$10</f>
        <v>0</v>
      </c>
      <c r="L102" s="260">
        <f t="shared" si="358"/>
        <v>0</v>
      </c>
      <c r="M102" s="296">
        <v>0</v>
      </c>
      <c r="N102" s="297">
        <f>(M72+O72/2)*((M51-N51)*(1+$BR$45))*Faktory!$D$10</f>
        <v>0</v>
      </c>
      <c r="O102" s="260">
        <f t="shared" si="359"/>
        <v>0</v>
      </c>
      <c r="P102" s="296">
        <v>0</v>
      </c>
      <c r="Q102" s="297">
        <f>(P72+R72/2)*((P51-Q51)*(1+$BR$45))*Faktory!$D$10</f>
        <v>0</v>
      </c>
      <c r="R102" s="260">
        <f t="shared" si="360"/>
        <v>0</v>
      </c>
      <c r="S102" s="296">
        <v>0</v>
      </c>
      <c r="T102" s="297">
        <f>(S72+U72/2)*((S51-T51)*(1+$BR$45))*Faktory!$D$10</f>
        <v>0</v>
      </c>
      <c r="U102" s="260">
        <f t="shared" si="361"/>
        <v>0</v>
      </c>
      <c r="V102" s="296">
        <v>0</v>
      </c>
      <c r="W102" s="297">
        <f>(V72+X72/2)*((V51-W51)*(1+$BR$45))*Faktory!$D$10</f>
        <v>0</v>
      </c>
      <c r="X102" s="260">
        <f t="shared" si="362"/>
        <v>0</v>
      </c>
      <c r="Y102" s="296">
        <v>0</v>
      </c>
      <c r="Z102" s="297">
        <f>(Y72+AA72/2)*((Y51-Z51)*(1+$BR$45))*Faktory!$D$10</f>
        <v>0</v>
      </c>
      <c r="AA102" s="260">
        <f t="shared" si="363"/>
        <v>0</v>
      </c>
      <c r="AB102" s="296">
        <v>0</v>
      </c>
      <c r="AC102" s="297">
        <f>(AB72+AD72/2)*((AB51-AC51)*(1+$BR$45))*Faktory!$D$10</f>
        <v>0</v>
      </c>
      <c r="AD102" s="260">
        <f t="shared" si="364"/>
        <v>0</v>
      </c>
      <c r="AE102" s="296">
        <v>0</v>
      </c>
      <c r="AF102" s="297">
        <f>(AE72+AG72/2)*((AE51-AF51)*(1+$BR$45))*Faktory!$D$10</f>
        <v>0</v>
      </c>
      <c r="AG102" s="260">
        <f t="shared" si="365"/>
        <v>0</v>
      </c>
      <c r="AH102" s="296">
        <v>0</v>
      </c>
      <c r="AI102" s="297">
        <f>(AH72+AJ72/2)*((AH51-AI51)*(1+$BR$45))*Faktory!$D$10</f>
        <v>0</v>
      </c>
      <c r="AJ102" s="260">
        <f t="shared" si="366"/>
        <v>0</v>
      </c>
      <c r="AK102" s="296">
        <v>0</v>
      </c>
      <c r="AL102" s="297">
        <f>(AK72+AM72/2)*((AK51-AL51)*(1+$BR$45))*Faktory!$D$10</f>
        <v>0</v>
      </c>
      <c r="AM102" s="260">
        <f t="shared" si="367"/>
        <v>0</v>
      </c>
      <c r="AN102" s="296">
        <v>0</v>
      </c>
      <c r="AO102" s="297">
        <f>(AN72+AP72/2)*((AN51-AO51)*(1+$BR$45))*Faktory!$D$10</f>
        <v>0</v>
      </c>
      <c r="AP102" s="260">
        <f t="shared" si="368"/>
        <v>0</v>
      </c>
      <c r="AQ102" s="296">
        <v>0</v>
      </c>
      <c r="AR102" s="297">
        <f>(AQ72+AS72/2)*((AQ51-AR51)*(1+$BR$45))*Faktory!$D$10</f>
        <v>0</v>
      </c>
      <c r="AS102" s="260">
        <f t="shared" si="369"/>
        <v>0</v>
      </c>
      <c r="AT102" s="296">
        <v>0</v>
      </c>
      <c r="AU102" s="297">
        <f>(AT72+AV72/2)*((AT51-AU51)*(1+$BR$45))*Faktory!$D$10</f>
        <v>0</v>
      </c>
      <c r="AV102" s="260">
        <f t="shared" si="370"/>
        <v>0</v>
      </c>
      <c r="AW102" s="296">
        <v>0</v>
      </c>
      <c r="AX102" s="297">
        <f>(AW72+AY72/2)*((AW51-AX51)*(1+$BR$45))*Faktory!$D$10</f>
        <v>0</v>
      </c>
      <c r="AY102" s="260">
        <f t="shared" si="371"/>
        <v>0</v>
      </c>
      <c r="AZ102" s="296">
        <v>0</v>
      </c>
      <c r="BA102" s="297">
        <f>(AZ72+BB72/2)*((AZ51-BA51)*(1+$BR$45))*Faktory!$D$10</f>
        <v>0</v>
      </c>
      <c r="BB102" s="260">
        <f t="shared" si="372"/>
        <v>0</v>
      </c>
      <c r="BC102" s="296">
        <v>0</v>
      </c>
      <c r="BD102" s="297">
        <f>(BC72+BE72/2)*((BC51-BD51)*(1+$BR$45))*Faktory!$D$10</f>
        <v>0</v>
      </c>
      <c r="BE102" s="260">
        <f t="shared" si="373"/>
        <v>0</v>
      </c>
      <c r="BF102" s="296">
        <v>0</v>
      </c>
      <c r="BG102" s="297">
        <f>(BF72+BH72/2)*((BF51-BG51)*(1+$BR$45))*Faktory!$D$10</f>
        <v>0</v>
      </c>
      <c r="BH102" s="260">
        <f t="shared" si="374"/>
        <v>0</v>
      </c>
      <c r="BI102" s="296">
        <v>0</v>
      </c>
      <c r="BJ102" s="297">
        <f>(BI72+BK72/2)*((BI51-BJ51)*(1+$BR$45))*Faktory!$D$10</f>
        <v>0</v>
      </c>
      <c r="BK102" s="260">
        <f t="shared" si="375"/>
        <v>0</v>
      </c>
      <c r="BL102" s="296">
        <v>0</v>
      </c>
      <c r="BM102" s="297">
        <f>(BL72+BN72/2)*((BL51-BM51)*(1+$BR$45))*Faktory!$D$10</f>
        <v>0</v>
      </c>
      <c r="BN102" s="260">
        <f t="shared" si="376"/>
        <v>0</v>
      </c>
      <c r="BO102" s="296">
        <v>0</v>
      </c>
      <c r="BP102" s="297">
        <f>(BO72+BQ72/2)*((BO51-BP51)*(1+$BR$45))*Faktory!$D$10</f>
        <v>0</v>
      </c>
      <c r="BQ102" s="260">
        <f t="shared" si="377"/>
        <v>0</v>
      </c>
    </row>
    <row r="103" spans="1:69">
      <c r="A103" s="780"/>
      <c r="B103" s="782"/>
      <c r="C103" s="288" t="s">
        <v>171</v>
      </c>
      <c r="D103" s="289">
        <f t="shared" si="356"/>
        <v>0</v>
      </c>
      <c r="E103" s="290">
        <f t="shared" si="159"/>
        <v>0</v>
      </c>
      <c r="F103" s="291">
        <f t="shared" si="160"/>
        <v>0</v>
      </c>
      <c r="G103" s="296">
        <v>0</v>
      </c>
      <c r="H103" s="297">
        <f>(G73+I73/2)*((G52-H52)*(1+$BR$45))*Faktory!$D$10</f>
        <v>0</v>
      </c>
      <c r="I103" s="260">
        <f t="shared" si="357"/>
        <v>0</v>
      </c>
      <c r="J103" s="296">
        <v>0</v>
      </c>
      <c r="K103" s="297">
        <f>(J73+L73/2)*((J52-K52)*(1+$BR$45))*Faktory!$D$10</f>
        <v>0</v>
      </c>
      <c r="L103" s="260">
        <f t="shared" si="358"/>
        <v>0</v>
      </c>
      <c r="M103" s="296">
        <v>0</v>
      </c>
      <c r="N103" s="297">
        <f>(M73+O73/2)*((M52-N52)*(1+$BR$45))*Faktory!$D$10</f>
        <v>0</v>
      </c>
      <c r="O103" s="260">
        <f t="shared" si="359"/>
        <v>0</v>
      </c>
      <c r="P103" s="296">
        <v>0</v>
      </c>
      <c r="Q103" s="297">
        <f>(P73+R73/2)*((P52-Q52)*(1+$BR$45))*Faktory!$D$10</f>
        <v>0</v>
      </c>
      <c r="R103" s="260">
        <f t="shared" si="360"/>
        <v>0</v>
      </c>
      <c r="S103" s="296">
        <v>0</v>
      </c>
      <c r="T103" s="297">
        <f>(S73+U73/2)*((S52-T52)*(1+$BR$45))*Faktory!$D$10</f>
        <v>0</v>
      </c>
      <c r="U103" s="260">
        <f t="shared" si="361"/>
        <v>0</v>
      </c>
      <c r="V103" s="296">
        <v>0</v>
      </c>
      <c r="W103" s="297">
        <f>(V73+X73/2)*((V52-W52)*(1+$BR$45))*Faktory!$D$10</f>
        <v>0</v>
      </c>
      <c r="X103" s="260">
        <f t="shared" si="362"/>
        <v>0</v>
      </c>
      <c r="Y103" s="296">
        <v>0</v>
      </c>
      <c r="Z103" s="297">
        <f>(Y73+AA73/2)*((Y52-Z52)*(1+$BR$45))*Faktory!$D$10</f>
        <v>0</v>
      </c>
      <c r="AA103" s="260">
        <f t="shared" si="363"/>
        <v>0</v>
      </c>
      <c r="AB103" s="296">
        <v>0</v>
      </c>
      <c r="AC103" s="297">
        <f>(AB73+AD73/2)*((AB52-AC52)*(1+$BR$45))*Faktory!$D$10</f>
        <v>0</v>
      </c>
      <c r="AD103" s="260">
        <f t="shared" si="364"/>
        <v>0</v>
      </c>
      <c r="AE103" s="296">
        <v>0</v>
      </c>
      <c r="AF103" s="297">
        <f>(AE73+AG73/2)*((AE52-AF52)*(1+$BR$45))*Faktory!$D$10</f>
        <v>0</v>
      </c>
      <c r="AG103" s="260">
        <f t="shared" si="365"/>
        <v>0</v>
      </c>
      <c r="AH103" s="296">
        <v>0</v>
      </c>
      <c r="AI103" s="297">
        <f>(AH73+AJ73/2)*((AH52-AI52)*(1+$BR$45))*Faktory!$D$10</f>
        <v>0</v>
      </c>
      <c r="AJ103" s="260">
        <f t="shared" si="366"/>
        <v>0</v>
      </c>
      <c r="AK103" s="296">
        <v>0</v>
      </c>
      <c r="AL103" s="297">
        <f>(AK73+AM73/2)*((AK52-AL52)*(1+$BR$45))*Faktory!$D$10</f>
        <v>0</v>
      </c>
      <c r="AM103" s="260">
        <f t="shared" si="367"/>
        <v>0</v>
      </c>
      <c r="AN103" s="296">
        <v>0</v>
      </c>
      <c r="AO103" s="297">
        <f>(AN73+AP73/2)*((AN52-AO52)*(1+$BR$45))*Faktory!$D$10</f>
        <v>0</v>
      </c>
      <c r="AP103" s="260">
        <f t="shared" si="368"/>
        <v>0</v>
      </c>
      <c r="AQ103" s="296">
        <v>0</v>
      </c>
      <c r="AR103" s="297">
        <f>(AQ73+AS73/2)*((AQ52-AR52)*(1+$BR$45))*Faktory!$D$10</f>
        <v>0</v>
      </c>
      <c r="AS103" s="260">
        <f t="shared" si="369"/>
        <v>0</v>
      </c>
      <c r="AT103" s="296">
        <v>0</v>
      </c>
      <c r="AU103" s="297">
        <f>(AT73+AV73/2)*((AT52-AU52)*(1+$BR$45))*Faktory!$D$10</f>
        <v>0</v>
      </c>
      <c r="AV103" s="260">
        <f t="shared" si="370"/>
        <v>0</v>
      </c>
      <c r="AW103" s="296">
        <v>0</v>
      </c>
      <c r="AX103" s="297">
        <f>(AW73+AY73/2)*((AW52-AX52)*(1+$BR$45))*Faktory!$D$10</f>
        <v>0</v>
      </c>
      <c r="AY103" s="260">
        <f t="shared" si="371"/>
        <v>0</v>
      </c>
      <c r="AZ103" s="296">
        <v>0</v>
      </c>
      <c r="BA103" s="297">
        <f>(AZ73+BB73/2)*((AZ52-BA52)*(1+$BR$45))*Faktory!$D$10</f>
        <v>0</v>
      </c>
      <c r="BB103" s="260">
        <f t="shared" si="372"/>
        <v>0</v>
      </c>
      <c r="BC103" s="296">
        <v>0</v>
      </c>
      <c r="BD103" s="297">
        <f>(BC73+BE73/2)*((BC52-BD52)*(1+$BR$45))*Faktory!$D$10</f>
        <v>0</v>
      </c>
      <c r="BE103" s="260">
        <f t="shared" si="373"/>
        <v>0</v>
      </c>
      <c r="BF103" s="296">
        <v>0</v>
      </c>
      <c r="BG103" s="297">
        <f>(BF73+BH73/2)*((BF52-BG52)*(1+$BR$45))*Faktory!$D$10</f>
        <v>0</v>
      </c>
      <c r="BH103" s="260">
        <f t="shared" si="374"/>
        <v>0</v>
      </c>
      <c r="BI103" s="296">
        <v>0</v>
      </c>
      <c r="BJ103" s="297">
        <f>(BI73+BK73/2)*((BI52-BJ52)*(1+$BR$45))*Faktory!$D$10</f>
        <v>0</v>
      </c>
      <c r="BK103" s="260">
        <f t="shared" si="375"/>
        <v>0</v>
      </c>
      <c r="BL103" s="296">
        <v>0</v>
      </c>
      <c r="BM103" s="297">
        <f>(BL73+BN73/2)*((BL52-BM52)*(1+$BR$45))*Faktory!$D$10</f>
        <v>0</v>
      </c>
      <c r="BN103" s="260">
        <f t="shared" si="376"/>
        <v>0</v>
      </c>
      <c r="BO103" s="296">
        <v>0</v>
      </c>
      <c r="BP103" s="297">
        <f>(BO73+BQ73/2)*((BO52-BP52)*(1+$BR$45))*Faktory!$D$10</f>
        <v>0</v>
      </c>
      <c r="BQ103" s="260">
        <f t="shared" si="377"/>
        <v>0</v>
      </c>
    </row>
    <row r="104" spans="1:69">
      <c r="A104" s="780"/>
      <c r="B104" s="782"/>
      <c r="C104" s="288" t="s">
        <v>172</v>
      </c>
      <c r="D104" s="289">
        <f t="shared" si="356"/>
        <v>0</v>
      </c>
      <c r="E104" s="290">
        <f t="shared" si="159"/>
        <v>0</v>
      </c>
      <c r="F104" s="291">
        <f t="shared" si="160"/>
        <v>0</v>
      </c>
      <c r="G104" s="296">
        <v>0</v>
      </c>
      <c r="H104" s="297">
        <f>(G74+I74/2)*((G53-H53)*(1+$BR$45))*Faktory!$D$10</f>
        <v>0</v>
      </c>
      <c r="I104" s="260">
        <f t="shared" si="357"/>
        <v>0</v>
      </c>
      <c r="J104" s="296">
        <v>0</v>
      </c>
      <c r="K104" s="297">
        <f>(J74+L74/2)*((J53-K53)*(1+$BR$45))*Faktory!$D$10</f>
        <v>0</v>
      </c>
      <c r="L104" s="260">
        <f t="shared" si="358"/>
        <v>0</v>
      </c>
      <c r="M104" s="296">
        <v>0</v>
      </c>
      <c r="N104" s="297">
        <f>(M74+O74/2)*((M53-N53)*(1+$BR$45))*Faktory!$D$10</f>
        <v>0</v>
      </c>
      <c r="O104" s="260">
        <f t="shared" si="359"/>
        <v>0</v>
      </c>
      <c r="P104" s="296">
        <v>0</v>
      </c>
      <c r="Q104" s="297">
        <f>(P74+R74/2)*((P53-Q53)*(1+$BR$45))*Faktory!$D$10</f>
        <v>0</v>
      </c>
      <c r="R104" s="260">
        <f t="shared" si="360"/>
        <v>0</v>
      </c>
      <c r="S104" s="296">
        <v>0</v>
      </c>
      <c r="T104" s="297">
        <f>(S74+U74/2)*((S53-T53)*(1+$BR$45))*Faktory!$D$10</f>
        <v>0</v>
      </c>
      <c r="U104" s="260">
        <f t="shared" si="361"/>
        <v>0</v>
      </c>
      <c r="V104" s="296">
        <v>0</v>
      </c>
      <c r="W104" s="297">
        <f>(V74+X74/2)*((V53-W53)*(1+$BR$45))*Faktory!$D$10</f>
        <v>0</v>
      </c>
      <c r="X104" s="260">
        <f t="shared" si="362"/>
        <v>0</v>
      </c>
      <c r="Y104" s="296">
        <v>0</v>
      </c>
      <c r="Z104" s="297">
        <f>(Y74+AA74/2)*((Y53-Z53)*(1+$BR$45))*Faktory!$D$10</f>
        <v>0</v>
      </c>
      <c r="AA104" s="260">
        <f t="shared" si="363"/>
        <v>0</v>
      </c>
      <c r="AB104" s="296">
        <v>0</v>
      </c>
      <c r="AC104" s="297">
        <f>(AB74+AD74/2)*((AB53-AC53)*(1+$BR$45))*Faktory!$D$10</f>
        <v>0</v>
      </c>
      <c r="AD104" s="260">
        <f t="shared" si="364"/>
        <v>0</v>
      </c>
      <c r="AE104" s="296">
        <v>0</v>
      </c>
      <c r="AF104" s="297">
        <f>(AE74+AG74/2)*((AE53-AF53)*(1+$BR$45))*Faktory!$D$10</f>
        <v>0</v>
      </c>
      <c r="AG104" s="260">
        <f t="shared" si="365"/>
        <v>0</v>
      </c>
      <c r="AH104" s="296">
        <v>0</v>
      </c>
      <c r="AI104" s="297">
        <f>(AH74+AJ74/2)*((AH53-AI53)*(1+$BR$45))*Faktory!$D$10</f>
        <v>0</v>
      </c>
      <c r="AJ104" s="260">
        <f t="shared" si="366"/>
        <v>0</v>
      </c>
      <c r="AK104" s="296">
        <v>0</v>
      </c>
      <c r="AL104" s="297">
        <f>(AK74+AM74/2)*((AK53-AL53)*(1+$BR$45))*Faktory!$D$10</f>
        <v>0</v>
      </c>
      <c r="AM104" s="260">
        <f t="shared" si="367"/>
        <v>0</v>
      </c>
      <c r="AN104" s="296">
        <v>0</v>
      </c>
      <c r="AO104" s="297">
        <f>(AN74+AP74/2)*((AN53-AO53)*(1+$BR$45))*Faktory!$D$10</f>
        <v>0</v>
      </c>
      <c r="AP104" s="260">
        <f t="shared" si="368"/>
        <v>0</v>
      </c>
      <c r="AQ104" s="296">
        <v>0</v>
      </c>
      <c r="AR104" s="297">
        <f>(AQ74+AS74/2)*((AQ53-AR53)*(1+$BR$45))*Faktory!$D$10</f>
        <v>0</v>
      </c>
      <c r="AS104" s="260">
        <f t="shared" si="369"/>
        <v>0</v>
      </c>
      <c r="AT104" s="296">
        <v>0</v>
      </c>
      <c r="AU104" s="297">
        <f>(AT74+AV74/2)*((AT53-AU53)*(1+$BR$45))*Faktory!$D$10</f>
        <v>0</v>
      </c>
      <c r="AV104" s="260">
        <f t="shared" si="370"/>
        <v>0</v>
      </c>
      <c r="AW104" s="296">
        <v>0</v>
      </c>
      <c r="AX104" s="297">
        <f>(AW74+AY74/2)*((AW53-AX53)*(1+$BR$45))*Faktory!$D$10</f>
        <v>0</v>
      </c>
      <c r="AY104" s="260">
        <f t="shared" si="371"/>
        <v>0</v>
      </c>
      <c r="AZ104" s="296">
        <v>0</v>
      </c>
      <c r="BA104" s="297">
        <f>(AZ74+BB74/2)*((AZ53-BA53)*(1+$BR$45))*Faktory!$D$10</f>
        <v>0</v>
      </c>
      <c r="BB104" s="260">
        <f t="shared" si="372"/>
        <v>0</v>
      </c>
      <c r="BC104" s="296">
        <v>0</v>
      </c>
      <c r="BD104" s="297">
        <f>(BC74+BE74/2)*((BC53-BD53)*(1+$BR$45))*Faktory!$D$10</f>
        <v>0</v>
      </c>
      <c r="BE104" s="260">
        <f t="shared" si="373"/>
        <v>0</v>
      </c>
      <c r="BF104" s="296">
        <v>0</v>
      </c>
      <c r="BG104" s="297">
        <f>(BF74+BH74/2)*((BF53-BG53)*(1+$BR$45))*Faktory!$D$10</f>
        <v>0</v>
      </c>
      <c r="BH104" s="260">
        <f t="shared" si="374"/>
        <v>0</v>
      </c>
      <c r="BI104" s="296">
        <v>0</v>
      </c>
      <c r="BJ104" s="297">
        <f>(BI74+BK74/2)*((BI53-BJ53)*(1+$BR$45))*Faktory!$D$10</f>
        <v>0</v>
      </c>
      <c r="BK104" s="260">
        <f t="shared" si="375"/>
        <v>0</v>
      </c>
      <c r="BL104" s="296">
        <v>0</v>
      </c>
      <c r="BM104" s="297">
        <f>(BL74+BN74/2)*((BL53-BM53)*(1+$BR$45))*Faktory!$D$10</f>
        <v>0</v>
      </c>
      <c r="BN104" s="260">
        <f t="shared" si="376"/>
        <v>0</v>
      </c>
      <c r="BO104" s="296">
        <v>0</v>
      </c>
      <c r="BP104" s="297">
        <f>(BO74+BQ74/2)*((BO53-BP53)*(1+$BR$45))*Faktory!$D$10</f>
        <v>0</v>
      </c>
      <c r="BQ104" s="260">
        <f t="shared" si="377"/>
        <v>0</v>
      </c>
    </row>
    <row r="105" spans="1:69" ht="15.75" thickBot="1">
      <c r="A105" s="781"/>
      <c r="B105" s="783"/>
      <c r="C105" s="298" t="s">
        <v>173</v>
      </c>
      <c r="D105" s="299">
        <f t="shared" si="356"/>
        <v>0</v>
      </c>
      <c r="E105" s="300">
        <f t="shared" si="159"/>
        <v>0</v>
      </c>
      <c r="F105" s="301">
        <f t="shared" si="160"/>
        <v>0</v>
      </c>
      <c r="G105" s="302">
        <v>0</v>
      </c>
      <c r="H105" s="303">
        <f>(G75+I75/2)*((G54-H54)*(1+$BR$45))*Faktory!$D$10</f>
        <v>0</v>
      </c>
      <c r="I105" s="265">
        <f t="shared" si="357"/>
        <v>0</v>
      </c>
      <c r="J105" s="302">
        <v>0</v>
      </c>
      <c r="K105" s="303">
        <f>(J75+L75/2)*((J54-K54)*(1+$BR$45))*Faktory!$D$10</f>
        <v>0</v>
      </c>
      <c r="L105" s="265">
        <f t="shared" si="358"/>
        <v>0</v>
      </c>
      <c r="M105" s="302">
        <v>0</v>
      </c>
      <c r="N105" s="303">
        <f>(M75+O75/2)*((M54-N54)*(1+$BR$45))*Faktory!$D$10</f>
        <v>0</v>
      </c>
      <c r="O105" s="265">
        <f t="shared" si="359"/>
        <v>0</v>
      </c>
      <c r="P105" s="302">
        <v>0</v>
      </c>
      <c r="Q105" s="303">
        <f>(P75+R75/2)*((P54-Q54)*(1+$BR$45))*Faktory!$D$10</f>
        <v>0</v>
      </c>
      <c r="R105" s="265">
        <f t="shared" si="360"/>
        <v>0</v>
      </c>
      <c r="S105" s="302">
        <v>0</v>
      </c>
      <c r="T105" s="303">
        <f>(S75+U75/2)*((S54-T54)*(1+$BR$45))*Faktory!$D$10</f>
        <v>0</v>
      </c>
      <c r="U105" s="265">
        <f t="shared" si="361"/>
        <v>0</v>
      </c>
      <c r="V105" s="302">
        <v>0</v>
      </c>
      <c r="W105" s="303">
        <f>(V75+X75/2)*((V54-W54)*(1+$BR$45))*Faktory!$D$10</f>
        <v>0</v>
      </c>
      <c r="X105" s="265">
        <f t="shared" si="362"/>
        <v>0</v>
      </c>
      <c r="Y105" s="302">
        <v>0</v>
      </c>
      <c r="Z105" s="303">
        <f>(Y75+AA75/2)*((Y54-Z54)*(1+$BR$45))*Faktory!$D$10</f>
        <v>0</v>
      </c>
      <c r="AA105" s="265">
        <f t="shared" si="363"/>
        <v>0</v>
      </c>
      <c r="AB105" s="302">
        <v>0</v>
      </c>
      <c r="AC105" s="303">
        <f>(AB75+AD75/2)*((AB54-AC54)*(1+$BR$45))*Faktory!$D$10</f>
        <v>0</v>
      </c>
      <c r="AD105" s="265">
        <f t="shared" si="364"/>
        <v>0</v>
      </c>
      <c r="AE105" s="302">
        <v>0</v>
      </c>
      <c r="AF105" s="303">
        <f>(AE75+AG75/2)*((AE54-AF54)*(1+$BR$45))*Faktory!$D$10</f>
        <v>0</v>
      </c>
      <c r="AG105" s="265">
        <f t="shared" si="365"/>
        <v>0</v>
      </c>
      <c r="AH105" s="302">
        <v>0</v>
      </c>
      <c r="AI105" s="303">
        <f>(AH75+AJ75/2)*((AH54-AI54)*(1+$BR$45))*Faktory!$D$10</f>
        <v>0</v>
      </c>
      <c r="AJ105" s="265">
        <f t="shared" si="366"/>
        <v>0</v>
      </c>
      <c r="AK105" s="302">
        <v>0</v>
      </c>
      <c r="AL105" s="303">
        <f>(AK75+AM75/2)*((AK54-AL54)*(1+$BR$45))*Faktory!$D$10</f>
        <v>0</v>
      </c>
      <c r="AM105" s="265">
        <f t="shared" si="367"/>
        <v>0</v>
      </c>
      <c r="AN105" s="302">
        <v>0</v>
      </c>
      <c r="AO105" s="303">
        <f>(AN75+AP75/2)*((AN54-AO54)*(1+$BR$45))*Faktory!$D$10</f>
        <v>0</v>
      </c>
      <c r="AP105" s="265">
        <f t="shared" si="368"/>
        <v>0</v>
      </c>
      <c r="AQ105" s="302">
        <v>0</v>
      </c>
      <c r="AR105" s="303">
        <f>(AQ75+AS75/2)*((AQ54-AR54)*(1+$BR$45))*Faktory!$D$10</f>
        <v>0</v>
      </c>
      <c r="AS105" s="265">
        <f t="shared" si="369"/>
        <v>0</v>
      </c>
      <c r="AT105" s="302">
        <v>0</v>
      </c>
      <c r="AU105" s="303">
        <f>(AT75+AV75/2)*((AT54-AU54)*(1+$BR$45))*Faktory!$D$10</f>
        <v>0</v>
      </c>
      <c r="AV105" s="265">
        <f t="shared" si="370"/>
        <v>0</v>
      </c>
      <c r="AW105" s="302">
        <v>0</v>
      </c>
      <c r="AX105" s="303">
        <f>(AW75+AY75/2)*((AW54-AX54)*(1+$BR$45))*Faktory!$D$10</f>
        <v>0</v>
      </c>
      <c r="AY105" s="265">
        <f t="shared" si="371"/>
        <v>0</v>
      </c>
      <c r="AZ105" s="302">
        <v>0</v>
      </c>
      <c r="BA105" s="303">
        <f>(AZ75+BB75/2)*((AZ54-BA54)*(1+$BR$45))*Faktory!$D$10</f>
        <v>0</v>
      </c>
      <c r="BB105" s="265">
        <f t="shared" si="372"/>
        <v>0</v>
      </c>
      <c r="BC105" s="302">
        <v>0</v>
      </c>
      <c r="BD105" s="303">
        <f>(BC75+BE75/2)*((BC54-BD54)*(1+$BR$45))*Faktory!$D$10</f>
        <v>0</v>
      </c>
      <c r="BE105" s="265">
        <f t="shared" si="373"/>
        <v>0</v>
      </c>
      <c r="BF105" s="302">
        <v>0</v>
      </c>
      <c r="BG105" s="303">
        <f>(BF75+BH75/2)*((BF54-BG54)*(1+$BR$45))*Faktory!$D$10</f>
        <v>0</v>
      </c>
      <c r="BH105" s="265">
        <f t="shared" si="374"/>
        <v>0</v>
      </c>
      <c r="BI105" s="302">
        <v>0</v>
      </c>
      <c r="BJ105" s="303">
        <f>(BI75+BK75/2)*((BI54-BJ54)*(1+$BR$45))*Faktory!$D$10</f>
        <v>0</v>
      </c>
      <c r="BK105" s="265">
        <f t="shared" si="375"/>
        <v>0</v>
      </c>
      <c r="BL105" s="302">
        <v>0</v>
      </c>
      <c r="BM105" s="303">
        <f>(BL75+BN75/2)*((BL54-BM54)*(1+$BR$45))*Faktory!$D$10</f>
        <v>0</v>
      </c>
      <c r="BN105" s="265">
        <f t="shared" si="376"/>
        <v>0</v>
      </c>
      <c r="BO105" s="302">
        <v>0</v>
      </c>
      <c r="BP105" s="303">
        <f>(BO75+BQ75/2)*((BO54-BP54)*(1+$BR$45))*Faktory!$D$10</f>
        <v>0</v>
      </c>
      <c r="BQ105" s="265">
        <f t="shared" si="377"/>
        <v>0</v>
      </c>
    </row>
    <row r="106" spans="1:69">
      <c r="A106" s="780" t="s">
        <v>223</v>
      </c>
      <c r="B106" s="782" t="s">
        <v>213</v>
      </c>
      <c r="C106" s="288" t="s">
        <v>164</v>
      </c>
      <c r="D106" s="289">
        <f t="shared" si="356"/>
        <v>0</v>
      </c>
      <c r="E106" s="290">
        <f t="shared" si="159"/>
        <v>0</v>
      </c>
      <c r="F106" s="291">
        <f>E106-D106</f>
        <v>0</v>
      </c>
      <c r="G106" s="304">
        <f t="shared" ref="G106:H115" si="378">G5*G15</f>
        <v>0</v>
      </c>
      <c r="H106" s="305">
        <f t="shared" si="378"/>
        <v>0</v>
      </c>
      <c r="I106" s="255">
        <f>H106-G106</f>
        <v>0</v>
      </c>
      <c r="J106" s="304">
        <f t="shared" ref="J106:K106" si="379">J5*J15</f>
        <v>0</v>
      </c>
      <c r="K106" s="305">
        <f t="shared" si="379"/>
        <v>0</v>
      </c>
      <c r="L106" s="255">
        <f>K106-J106</f>
        <v>0</v>
      </c>
      <c r="M106" s="304">
        <f t="shared" ref="M106:N106" si="380">M5*M15</f>
        <v>0</v>
      </c>
      <c r="N106" s="305">
        <f t="shared" si="380"/>
        <v>0</v>
      </c>
      <c r="O106" s="255">
        <f>N106-M106</f>
        <v>0</v>
      </c>
      <c r="P106" s="304">
        <f t="shared" ref="P106:Q106" si="381">P5*P15</f>
        <v>0</v>
      </c>
      <c r="Q106" s="305">
        <f t="shared" si="381"/>
        <v>0</v>
      </c>
      <c r="R106" s="255">
        <f t="shared" ref="R106:R115" si="382">Q106-P106</f>
        <v>0</v>
      </c>
      <c r="S106" s="304">
        <f t="shared" ref="S106:T106" si="383">S5*S15</f>
        <v>0</v>
      </c>
      <c r="T106" s="305">
        <f t="shared" si="383"/>
        <v>0</v>
      </c>
      <c r="U106" s="255">
        <f t="shared" ref="U106:U115" si="384">T106-S106</f>
        <v>0</v>
      </c>
      <c r="V106" s="304">
        <f t="shared" ref="V106:W106" si="385">V5*V15</f>
        <v>0</v>
      </c>
      <c r="W106" s="305">
        <f t="shared" si="385"/>
        <v>0</v>
      </c>
      <c r="X106" s="255">
        <f t="shared" ref="X106:X115" si="386">W106-V106</f>
        <v>0</v>
      </c>
      <c r="Y106" s="304">
        <f t="shared" ref="Y106:Z106" si="387">Y5*Y15</f>
        <v>0</v>
      </c>
      <c r="Z106" s="305">
        <f t="shared" si="387"/>
        <v>0</v>
      </c>
      <c r="AA106" s="255">
        <f>Z106-Y106</f>
        <v>0</v>
      </c>
      <c r="AB106" s="304">
        <f t="shared" ref="AB106:AC106" si="388">AB5*AB15</f>
        <v>0</v>
      </c>
      <c r="AC106" s="305">
        <f t="shared" si="388"/>
        <v>0</v>
      </c>
      <c r="AD106" s="255">
        <f>AC106-AB106</f>
        <v>0</v>
      </c>
      <c r="AE106" s="304">
        <f t="shared" ref="AE106:AF106" si="389">AE5*AE15</f>
        <v>0</v>
      </c>
      <c r="AF106" s="305">
        <f t="shared" si="389"/>
        <v>0</v>
      </c>
      <c r="AG106" s="255">
        <f t="shared" ref="AG106:AG115" si="390">AF106-AE106</f>
        <v>0</v>
      </c>
      <c r="AH106" s="304">
        <f t="shared" ref="AH106:AI106" si="391">AH5*AH15</f>
        <v>0</v>
      </c>
      <c r="AI106" s="305">
        <f t="shared" si="391"/>
        <v>0</v>
      </c>
      <c r="AJ106" s="255">
        <f t="shared" ref="AJ106:AJ115" si="392">AI106-AH106</f>
        <v>0</v>
      </c>
      <c r="AK106" s="304">
        <f t="shared" ref="AK106:AL106" si="393">AK5*AK15</f>
        <v>0</v>
      </c>
      <c r="AL106" s="305">
        <f t="shared" si="393"/>
        <v>0</v>
      </c>
      <c r="AM106" s="255">
        <f t="shared" ref="AM106:AM115" si="394">AL106-AK106</f>
        <v>0</v>
      </c>
      <c r="AN106" s="304">
        <f t="shared" ref="AN106:AO106" si="395">AN5*AN15</f>
        <v>0</v>
      </c>
      <c r="AO106" s="305">
        <f t="shared" si="395"/>
        <v>0</v>
      </c>
      <c r="AP106" s="255">
        <f>AO106-AN106</f>
        <v>0</v>
      </c>
      <c r="AQ106" s="304">
        <f t="shared" ref="AQ106:AR106" si="396">AQ5*AQ15</f>
        <v>0</v>
      </c>
      <c r="AR106" s="305">
        <f t="shared" si="396"/>
        <v>0</v>
      </c>
      <c r="AS106" s="255">
        <f>AR106-AQ106</f>
        <v>0</v>
      </c>
      <c r="AT106" s="304">
        <f t="shared" ref="AT106:AU106" si="397">AT5*AT15</f>
        <v>0</v>
      </c>
      <c r="AU106" s="305">
        <f t="shared" si="397"/>
        <v>0</v>
      </c>
      <c r="AV106" s="255">
        <f t="shared" ref="AV106:AV115" si="398">AU106-AT106</f>
        <v>0</v>
      </c>
      <c r="AW106" s="304">
        <f t="shared" ref="AW106:AX106" si="399">AW5*AW15</f>
        <v>0</v>
      </c>
      <c r="AX106" s="305">
        <f t="shared" si="399"/>
        <v>0</v>
      </c>
      <c r="AY106" s="255">
        <f t="shared" ref="AY106:AY115" si="400">AX106-AW106</f>
        <v>0</v>
      </c>
      <c r="AZ106" s="304">
        <f t="shared" ref="AZ106:BA106" si="401">AZ5*AZ15</f>
        <v>0</v>
      </c>
      <c r="BA106" s="305">
        <f t="shared" si="401"/>
        <v>0</v>
      </c>
      <c r="BB106" s="255">
        <f t="shared" ref="BB106:BB115" si="402">BA106-AZ106</f>
        <v>0</v>
      </c>
      <c r="BC106" s="304">
        <f t="shared" ref="BC106:BD106" si="403">BC5*BC15</f>
        <v>0</v>
      </c>
      <c r="BD106" s="305">
        <f t="shared" si="403"/>
        <v>0</v>
      </c>
      <c r="BE106" s="255">
        <f>BD106-BC106</f>
        <v>0</v>
      </c>
      <c r="BF106" s="304">
        <f t="shared" ref="BF106:BG106" si="404">BF5*BF15</f>
        <v>0</v>
      </c>
      <c r="BG106" s="305">
        <f t="shared" si="404"/>
        <v>0</v>
      </c>
      <c r="BH106" s="255">
        <f>BG106-BF106</f>
        <v>0</v>
      </c>
      <c r="BI106" s="304">
        <f t="shared" ref="BI106:BJ115" si="405">BI5*BI15</f>
        <v>0</v>
      </c>
      <c r="BJ106" s="305">
        <f t="shared" si="405"/>
        <v>0</v>
      </c>
      <c r="BK106" s="255">
        <f t="shared" ref="BK106:BK115" si="406">BJ106-BI106</f>
        <v>0</v>
      </c>
      <c r="BL106" s="304">
        <f t="shared" ref="BL106:BM115" si="407">BL5*BL15</f>
        <v>0</v>
      </c>
      <c r="BM106" s="305">
        <f t="shared" si="407"/>
        <v>0</v>
      </c>
      <c r="BN106" s="255">
        <f t="shared" ref="BN106:BN115" si="408">BM106-BL106</f>
        <v>0</v>
      </c>
      <c r="BO106" s="304">
        <f t="shared" ref="BO106:BP115" si="409">BO5*BO15</f>
        <v>0</v>
      </c>
      <c r="BP106" s="305">
        <f t="shared" si="409"/>
        <v>0</v>
      </c>
      <c r="BQ106" s="255">
        <f t="shared" ref="BQ106:BQ115" si="410">BP106-BO106</f>
        <v>0</v>
      </c>
    </row>
    <row r="107" spans="1:69">
      <c r="A107" s="780"/>
      <c r="B107" s="782"/>
      <c r="C107" s="288" t="s">
        <v>165</v>
      </c>
      <c r="D107" s="289">
        <f t="shared" si="356"/>
        <v>0</v>
      </c>
      <c r="E107" s="290">
        <f t="shared" si="159"/>
        <v>0</v>
      </c>
      <c r="F107" s="291">
        <f t="shared" ref="F107:F115" si="411">E107-D107</f>
        <v>0</v>
      </c>
      <c r="G107" s="296">
        <f t="shared" si="378"/>
        <v>0</v>
      </c>
      <c r="H107" s="297">
        <f t="shared" si="378"/>
        <v>0</v>
      </c>
      <c r="I107" s="260">
        <f t="shared" ref="I107:I115" si="412">H107-G107</f>
        <v>0</v>
      </c>
      <c r="J107" s="296">
        <f t="shared" ref="J107:K107" si="413">J6*J16</f>
        <v>0</v>
      </c>
      <c r="K107" s="297">
        <f t="shared" si="413"/>
        <v>0</v>
      </c>
      <c r="L107" s="260">
        <f t="shared" ref="L107:L115" si="414">K107-J107</f>
        <v>0</v>
      </c>
      <c r="M107" s="296">
        <f t="shared" ref="M107:N107" si="415">M6*M16</f>
        <v>0</v>
      </c>
      <c r="N107" s="297">
        <f t="shared" si="415"/>
        <v>0</v>
      </c>
      <c r="O107" s="260">
        <f t="shared" ref="O107:O115" si="416">N107-M107</f>
        <v>0</v>
      </c>
      <c r="P107" s="296">
        <f t="shared" ref="P107:Q107" si="417">P6*P16</f>
        <v>0</v>
      </c>
      <c r="Q107" s="297">
        <f t="shared" si="417"/>
        <v>0</v>
      </c>
      <c r="R107" s="260">
        <f t="shared" si="382"/>
        <v>0</v>
      </c>
      <c r="S107" s="296">
        <f t="shared" ref="S107:T107" si="418">S6*S16</f>
        <v>0</v>
      </c>
      <c r="T107" s="297">
        <f t="shared" si="418"/>
        <v>0</v>
      </c>
      <c r="U107" s="260">
        <f t="shared" si="384"/>
        <v>0</v>
      </c>
      <c r="V107" s="296">
        <f t="shared" ref="V107:W107" si="419">V6*V16</f>
        <v>0</v>
      </c>
      <c r="W107" s="297">
        <f t="shared" si="419"/>
        <v>0</v>
      </c>
      <c r="X107" s="260">
        <f t="shared" si="386"/>
        <v>0</v>
      </c>
      <c r="Y107" s="296">
        <f t="shared" ref="Y107:Z107" si="420">Y6*Y16</f>
        <v>0</v>
      </c>
      <c r="Z107" s="297">
        <f t="shared" si="420"/>
        <v>0</v>
      </c>
      <c r="AA107" s="260">
        <f t="shared" ref="AA107:AA115" si="421">Z107-Y107</f>
        <v>0</v>
      </c>
      <c r="AB107" s="296">
        <f t="shared" ref="AB107:AC107" si="422">AB6*AB16</f>
        <v>0</v>
      </c>
      <c r="AC107" s="297">
        <f t="shared" si="422"/>
        <v>0</v>
      </c>
      <c r="AD107" s="260">
        <f t="shared" ref="AD107:AD115" si="423">AC107-AB107</f>
        <v>0</v>
      </c>
      <c r="AE107" s="296">
        <f t="shared" ref="AE107:AF107" si="424">AE6*AE16</f>
        <v>0</v>
      </c>
      <c r="AF107" s="297">
        <f t="shared" si="424"/>
        <v>0</v>
      </c>
      <c r="AG107" s="260">
        <f t="shared" si="390"/>
        <v>0</v>
      </c>
      <c r="AH107" s="296">
        <f t="shared" ref="AH107:AI107" si="425">AH6*AH16</f>
        <v>0</v>
      </c>
      <c r="AI107" s="297">
        <f t="shared" si="425"/>
        <v>0</v>
      </c>
      <c r="AJ107" s="260">
        <f t="shared" si="392"/>
        <v>0</v>
      </c>
      <c r="AK107" s="296">
        <f t="shared" ref="AK107:AL107" si="426">AK6*AK16</f>
        <v>0</v>
      </c>
      <c r="AL107" s="297">
        <f t="shared" si="426"/>
        <v>0</v>
      </c>
      <c r="AM107" s="260">
        <f t="shared" si="394"/>
        <v>0</v>
      </c>
      <c r="AN107" s="296">
        <f t="shared" ref="AN107:AO107" si="427">AN6*AN16</f>
        <v>0</v>
      </c>
      <c r="AO107" s="297">
        <f t="shared" si="427"/>
        <v>0</v>
      </c>
      <c r="AP107" s="260">
        <f t="shared" ref="AP107:AP115" si="428">AO107-AN107</f>
        <v>0</v>
      </c>
      <c r="AQ107" s="296">
        <f t="shared" ref="AQ107:AR107" si="429">AQ6*AQ16</f>
        <v>0</v>
      </c>
      <c r="AR107" s="297">
        <f t="shared" si="429"/>
        <v>0</v>
      </c>
      <c r="AS107" s="260">
        <f t="shared" ref="AS107:AS115" si="430">AR107-AQ107</f>
        <v>0</v>
      </c>
      <c r="AT107" s="296">
        <f t="shared" ref="AT107:AU107" si="431">AT6*AT16</f>
        <v>0</v>
      </c>
      <c r="AU107" s="297">
        <f t="shared" si="431"/>
        <v>0</v>
      </c>
      <c r="AV107" s="260">
        <f t="shared" si="398"/>
        <v>0</v>
      </c>
      <c r="AW107" s="296">
        <f t="shared" ref="AW107:AX107" si="432">AW6*AW16</f>
        <v>0</v>
      </c>
      <c r="AX107" s="297">
        <f t="shared" si="432"/>
        <v>0</v>
      </c>
      <c r="AY107" s="260">
        <f t="shared" si="400"/>
        <v>0</v>
      </c>
      <c r="AZ107" s="296">
        <f t="shared" ref="AZ107:BA107" si="433">AZ6*AZ16</f>
        <v>0</v>
      </c>
      <c r="BA107" s="297">
        <f t="shared" si="433"/>
        <v>0</v>
      </c>
      <c r="BB107" s="260">
        <f t="shared" si="402"/>
        <v>0</v>
      </c>
      <c r="BC107" s="296">
        <f t="shared" ref="BC107:BD107" si="434">BC6*BC16</f>
        <v>0</v>
      </c>
      <c r="BD107" s="297">
        <f t="shared" si="434"/>
        <v>0</v>
      </c>
      <c r="BE107" s="260">
        <f t="shared" ref="BE107:BE115" si="435">BD107-BC107</f>
        <v>0</v>
      </c>
      <c r="BF107" s="296">
        <f t="shared" ref="BF107:BG107" si="436">BF6*BF16</f>
        <v>0</v>
      </c>
      <c r="BG107" s="297">
        <f t="shared" si="436"/>
        <v>0</v>
      </c>
      <c r="BH107" s="260">
        <f t="shared" ref="BH107:BH115" si="437">BG107-BF107</f>
        <v>0</v>
      </c>
      <c r="BI107" s="296">
        <f t="shared" si="405"/>
        <v>0</v>
      </c>
      <c r="BJ107" s="297">
        <f t="shared" si="405"/>
        <v>0</v>
      </c>
      <c r="BK107" s="260">
        <f t="shared" si="406"/>
        <v>0</v>
      </c>
      <c r="BL107" s="296">
        <f t="shared" si="407"/>
        <v>0</v>
      </c>
      <c r="BM107" s="297">
        <f t="shared" si="407"/>
        <v>0</v>
      </c>
      <c r="BN107" s="260">
        <f t="shared" si="408"/>
        <v>0</v>
      </c>
      <c r="BO107" s="296">
        <f t="shared" si="409"/>
        <v>0</v>
      </c>
      <c r="BP107" s="297">
        <f t="shared" si="409"/>
        <v>0</v>
      </c>
      <c r="BQ107" s="260">
        <f t="shared" si="410"/>
        <v>0</v>
      </c>
    </row>
    <row r="108" spans="1:69">
      <c r="A108" s="780"/>
      <c r="B108" s="782"/>
      <c r="C108" s="288" t="s">
        <v>166</v>
      </c>
      <c r="D108" s="289">
        <f t="shared" si="356"/>
        <v>0</v>
      </c>
      <c r="E108" s="290">
        <f t="shared" si="159"/>
        <v>0</v>
      </c>
      <c r="F108" s="291">
        <f t="shared" si="411"/>
        <v>0</v>
      </c>
      <c r="G108" s="296">
        <f t="shared" si="378"/>
        <v>0</v>
      </c>
      <c r="H108" s="297">
        <f t="shared" si="378"/>
        <v>0</v>
      </c>
      <c r="I108" s="260">
        <f t="shared" si="412"/>
        <v>0</v>
      </c>
      <c r="J108" s="296">
        <f t="shared" ref="J108:K108" si="438">J7*J17</f>
        <v>0</v>
      </c>
      <c r="K108" s="297">
        <f t="shared" si="438"/>
        <v>0</v>
      </c>
      <c r="L108" s="260">
        <f t="shared" si="414"/>
        <v>0</v>
      </c>
      <c r="M108" s="296">
        <f t="shared" ref="M108:N108" si="439">M7*M17</f>
        <v>0</v>
      </c>
      <c r="N108" s="297">
        <f t="shared" si="439"/>
        <v>0</v>
      </c>
      <c r="O108" s="260">
        <f t="shared" si="416"/>
        <v>0</v>
      </c>
      <c r="P108" s="296">
        <f t="shared" ref="P108:Q108" si="440">P7*P17</f>
        <v>0</v>
      </c>
      <c r="Q108" s="297">
        <f t="shared" si="440"/>
        <v>0</v>
      </c>
      <c r="R108" s="260">
        <f t="shared" si="382"/>
        <v>0</v>
      </c>
      <c r="S108" s="296">
        <f t="shared" ref="S108:T108" si="441">S7*S17</f>
        <v>0</v>
      </c>
      <c r="T108" s="297">
        <f t="shared" si="441"/>
        <v>0</v>
      </c>
      <c r="U108" s="260">
        <f t="shared" si="384"/>
        <v>0</v>
      </c>
      <c r="V108" s="296">
        <f t="shared" ref="V108:W108" si="442">V7*V17</f>
        <v>0</v>
      </c>
      <c r="W108" s="297">
        <f t="shared" si="442"/>
        <v>0</v>
      </c>
      <c r="X108" s="260">
        <f t="shared" si="386"/>
        <v>0</v>
      </c>
      <c r="Y108" s="296">
        <f t="shared" ref="Y108:Z108" si="443">Y7*Y17</f>
        <v>0</v>
      </c>
      <c r="Z108" s="297">
        <f t="shared" si="443"/>
        <v>0</v>
      </c>
      <c r="AA108" s="260">
        <f t="shared" si="421"/>
        <v>0</v>
      </c>
      <c r="AB108" s="296">
        <f t="shared" ref="AB108:AC108" si="444">AB7*AB17</f>
        <v>0</v>
      </c>
      <c r="AC108" s="297">
        <f t="shared" si="444"/>
        <v>0</v>
      </c>
      <c r="AD108" s="260">
        <f t="shared" si="423"/>
        <v>0</v>
      </c>
      <c r="AE108" s="296">
        <f t="shared" ref="AE108:AF108" si="445">AE7*AE17</f>
        <v>0</v>
      </c>
      <c r="AF108" s="297">
        <f t="shared" si="445"/>
        <v>0</v>
      </c>
      <c r="AG108" s="260">
        <f t="shared" si="390"/>
        <v>0</v>
      </c>
      <c r="AH108" s="296">
        <f t="shared" ref="AH108:AI108" si="446">AH7*AH17</f>
        <v>0</v>
      </c>
      <c r="AI108" s="297">
        <f t="shared" si="446"/>
        <v>0</v>
      </c>
      <c r="AJ108" s="260">
        <f t="shared" si="392"/>
        <v>0</v>
      </c>
      <c r="AK108" s="296">
        <f t="shared" ref="AK108:AL108" si="447">AK7*AK17</f>
        <v>0</v>
      </c>
      <c r="AL108" s="297">
        <f t="shared" si="447"/>
        <v>0</v>
      </c>
      <c r="AM108" s="260">
        <f t="shared" si="394"/>
        <v>0</v>
      </c>
      <c r="AN108" s="296">
        <f t="shared" ref="AN108:AO108" si="448">AN7*AN17</f>
        <v>0</v>
      </c>
      <c r="AO108" s="297">
        <f t="shared" si="448"/>
        <v>0</v>
      </c>
      <c r="AP108" s="260">
        <f t="shared" si="428"/>
        <v>0</v>
      </c>
      <c r="AQ108" s="296">
        <f t="shared" ref="AQ108:AR108" si="449">AQ7*AQ17</f>
        <v>0</v>
      </c>
      <c r="AR108" s="297">
        <f t="shared" si="449"/>
        <v>0</v>
      </c>
      <c r="AS108" s="260">
        <f t="shared" si="430"/>
        <v>0</v>
      </c>
      <c r="AT108" s="296">
        <f t="shared" ref="AT108:AU108" si="450">AT7*AT17</f>
        <v>0</v>
      </c>
      <c r="AU108" s="297">
        <f t="shared" si="450"/>
        <v>0</v>
      </c>
      <c r="AV108" s="260">
        <f t="shared" si="398"/>
        <v>0</v>
      </c>
      <c r="AW108" s="296">
        <f t="shared" ref="AW108:AX108" si="451">AW7*AW17</f>
        <v>0</v>
      </c>
      <c r="AX108" s="297">
        <f t="shared" si="451"/>
        <v>0</v>
      </c>
      <c r="AY108" s="260">
        <f t="shared" si="400"/>
        <v>0</v>
      </c>
      <c r="AZ108" s="296">
        <f t="shared" ref="AZ108:BA108" si="452">AZ7*AZ17</f>
        <v>0</v>
      </c>
      <c r="BA108" s="297">
        <f t="shared" si="452"/>
        <v>0</v>
      </c>
      <c r="BB108" s="260">
        <f t="shared" si="402"/>
        <v>0</v>
      </c>
      <c r="BC108" s="296">
        <f t="shared" ref="BC108:BD108" si="453">BC7*BC17</f>
        <v>0</v>
      </c>
      <c r="BD108" s="297">
        <f t="shared" si="453"/>
        <v>0</v>
      </c>
      <c r="BE108" s="260">
        <f t="shared" si="435"/>
        <v>0</v>
      </c>
      <c r="BF108" s="296">
        <f t="shared" ref="BF108:BG108" si="454">BF7*BF17</f>
        <v>0</v>
      </c>
      <c r="BG108" s="297">
        <f t="shared" si="454"/>
        <v>0</v>
      </c>
      <c r="BH108" s="260">
        <f t="shared" si="437"/>
        <v>0</v>
      </c>
      <c r="BI108" s="296">
        <f t="shared" si="405"/>
        <v>0</v>
      </c>
      <c r="BJ108" s="297">
        <f t="shared" si="405"/>
        <v>0</v>
      </c>
      <c r="BK108" s="260">
        <f t="shared" si="406"/>
        <v>0</v>
      </c>
      <c r="BL108" s="296">
        <f t="shared" si="407"/>
        <v>0</v>
      </c>
      <c r="BM108" s="297">
        <f t="shared" si="407"/>
        <v>0</v>
      </c>
      <c r="BN108" s="260">
        <f t="shared" si="408"/>
        <v>0</v>
      </c>
      <c r="BO108" s="296">
        <f t="shared" si="409"/>
        <v>0</v>
      </c>
      <c r="BP108" s="297">
        <f t="shared" si="409"/>
        <v>0</v>
      </c>
      <c r="BQ108" s="260">
        <f t="shared" si="410"/>
        <v>0</v>
      </c>
    </row>
    <row r="109" spans="1:69">
      <c r="A109" s="780"/>
      <c r="B109" s="782"/>
      <c r="C109" s="288" t="s">
        <v>167</v>
      </c>
      <c r="D109" s="289">
        <f t="shared" si="356"/>
        <v>0</v>
      </c>
      <c r="E109" s="290">
        <f t="shared" si="159"/>
        <v>0</v>
      </c>
      <c r="F109" s="291">
        <f t="shared" si="411"/>
        <v>0</v>
      </c>
      <c r="G109" s="296">
        <f t="shared" si="378"/>
        <v>0</v>
      </c>
      <c r="H109" s="297">
        <f t="shared" si="378"/>
        <v>0</v>
      </c>
      <c r="I109" s="260">
        <f t="shared" si="412"/>
        <v>0</v>
      </c>
      <c r="J109" s="296">
        <f t="shared" ref="J109:K109" si="455">J8*J18</f>
        <v>0</v>
      </c>
      <c r="K109" s="297">
        <f t="shared" si="455"/>
        <v>0</v>
      </c>
      <c r="L109" s="260">
        <f t="shared" si="414"/>
        <v>0</v>
      </c>
      <c r="M109" s="296">
        <f t="shared" ref="M109:N109" si="456">M8*M18</f>
        <v>0</v>
      </c>
      <c r="N109" s="297">
        <f t="shared" si="456"/>
        <v>0</v>
      </c>
      <c r="O109" s="260">
        <f t="shared" si="416"/>
        <v>0</v>
      </c>
      <c r="P109" s="296">
        <f t="shared" ref="P109:Q109" si="457">P8*P18</f>
        <v>0</v>
      </c>
      <c r="Q109" s="297">
        <f t="shared" si="457"/>
        <v>0</v>
      </c>
      <c r="R109" s="260">
        <f t="shared" si="382"/>
        <v>0</v>
      </c>
      <c r="S109" s="296">
        <f t="shared" ref="S109:T109" si="458">S8*S18</f>
        <v>0</v>
      </c>
      <c r="T109" s="297">
        <f t="shared" si="458"/>
        <v>0</v>
      </c>
      <c r="U109" s="260">
        <f t="shared" si="384"/>
        <v>0</v>
      </c>
      <c r="V109" s="296">
        <f t="shared" ref="V109:W109" si="459">V8*V18</f>
        <v>0</v>
      </c>
      <c r="W109" s="297">
        <f t="shared" si="459"/>
        <v>0</v>
      </c>
      <c r="X109" s="260">
        <f t="shared" si="386"/>
        <v>0</v>
      </c>
      <c r="Y109" s="296">
        <f t="shared" ref="Y109:Z109" si="460">Y8*Y18</f>
        <v>0</v>
      </c>
      <c r="Z109" s="297">
        <f t="shared" si="460"/>
        <v>0</v>
      </c>
      <c r="AA109" s="260">
        <f t="shared" si="421"/>
        <v>0</v>
      </c>
      <c r="AB109" s="296">
        <f t="shared" ref="AB109:AC109" si="461">AB8*AB18</f>
        <v>0</v>
      </c>
      <c r="AC109" s="297">
        <f t="shared" si="461"/>
        <v>0</v>
      </c>
      <c r="AD109" s="260">
        <f t="shared" si="423"/>
        <v>0</v>
      </c>
      <c r="AE109" s="296">
        <f t="shared" ref="AE109:AF109" si="462">AE8*AE18</f>
        <v>0</v>
      </c>
      <c r="AF109" s="297">
        <f t="shared" si="462"/>
        <v>0</v>
      </c>
      <c r="AG109" s="260">
        <f t="shared" si="390"/>
        <v>0</v>
      </c>
      <c r="AH109" s="296">
        <f t="shared" ref="AH109:AI109" si="463">AH8*AH18</f>
        <v>0</v>
      </c>
      <c r="AI109" s="297">
        <f t="shared" si="463"/>
        <v>0</v>
      </c>
      <c r="AJ109" s="260">
        <f t="shared" si="392"/>
        <v>0</v>
      </c>
      <c r="AK109" s="296">
        <f t="shared" ref="AK109:AL109" si="464">AK8*AK18</f>
        <v>0</v>
      </c>
      <c r="AL109" s="297">
        <f t="shared" si="464"/>
        <v>0</v>
      </c>
      <c r="AM109" s="260">
        <f t="shared" si="394"/>
        <v>0</v>
      </c>
      <c r="AN109" s="296">
        <f t="shared" ref="AN109:AO109" si="465">AN8*AN18</f>
        <v>0</v>
      </c>
      <c r="AO109" s="297">
        <f t="shared" si="465"/>
        <v>0</v>
      </c>
      <c r="AP109" s="260">
        <f t="shared" si="428"/>
        <v>0</v>
      </c>
      <c r="AQ109" s="296">
        <f t="shared" ref="AQ109:AR109" si="466">AQ8*AQ18</f>
        <v>0</v>
      </c>
      <c r="AR109" s="297">
        <f t="shared" si="466"/>
        <v>0</v>
      </c>
      <c r="AS109" s="260">
        <f t="shared" si="430"/>
        <v>0</v>
      </c>
      <c r="AT109" s="296">
        <f t="shared" ref="AT109:AU109" si="467">AT8*AT18</f>
        <v>0</v>
      </c>
      <c r="AU109" s="297">
        <f t="shared" si="467"/>
        <v>0</v>
      </c>
      <c r="AV109" s="260">
        <f t="shared" si="398"/>
        <v>0</v>
      </c>
      <c r="AW109" s="296">
        <f t="shared" ref="AW109:AX109" si="468">AW8*AW18</f>
        <v>0</v>
      </c>
      <c r="AX109" s="297">
        <f t="shared" si="468"/>
        <v>0</v>
      </c>
      <c r="AY109" s="260">
        <f t="shared" si="400"/>
        <v>0</v>
      </c>
      <c r="AZ109" s="296">
        <f t="shared" ref="AZ109:BA109" si="469">AZ8*AZ18</f>
        <v>0</v>
      </c>
      <c r="BA109" s="297">
        <f t="shared" si="469"/>
        <v>0</v>
      </c>
      <c r="BB109" s="260">
        <f t="shared" si="402"/>
        <v>0</v>
      </c>
      <c r="BC109" s="296">
        <f t="shared" ref="BC109:BD109" si="470">BC8*BC18</f>
        <v>0</v>
      </c>
      <c r="BD109" s="297">
        <f t="shared" si="470"/>
        <v>0</v>
      </c>
      <c r="BE109" s="260">
        <f t="shared" si="435"/>
        <v>0</v>
      </c>
      <c r="BF109" s="296">
        <f t="shared" ref="BF109:BG109" si="471">BF8*BF18</f>
        <v>0</v>
      </c>
      <c r="BG109" s="297">
        <f t="shared" si="471"/>
        <v>0</v>
      </c>
      <c r="BH109" s="260">
        <f t="shared" si="437"/>
        <v>0</v>
      </c>
      <c r="BI109" s="296">
        <f t="shared" si="405"/>
        <v>0</v>
      </c>
      <c r="BJ109" s="297">
        <f t="shared" si="405"/>
        <v>0</v>
      </c>
      <c r="BK109" s="260">
        <f t="shared" si="406"/>
        <v>0</v>
      </c>
      <c r="BL109" s="296">
        <f t="shared" si="407"/>
        <v>0</v>
      </c>
      <c r="BM109" s="297">
        <f t="shared" si="407"/>
        <v>0</v>
      </c>
      <c r="BN109" s="260">
        <f t="shared" si="408"/>
        <v>0</v>
      </c>
      <c r="BO109" s="296">
        <f t="shared" si="409"/>
        <v>0</v>
      </c>
      <c r="BP109" s="297">
        <f t="shared" si="409"/>
        <v>0</v>
      </c>
      <c r="BQ109" s="260">
        <f t="shared" si="410"/>
        <v>0</v>
      </c>
    </row>
    <row r="110" spans="1:69">
      <c r="A110" s="780"/>
      <c r="B110" s="782"/>
      <c r="C110" s="288" t="s">
        <v>168</v>
      </c>
      <c r="D110" s="289">
        <f t="shared" si="356"/>
        <v>0</v>
      </c>
      <c r="E110" s="290">
        <f t="shared" si="159"/>
        <v>0</v>
      </c>
      <c r="F110" s="291">
        <f t="shared" si="411"/>
        <v>0</v>
      </c>
      <c r="G110" s="296">
        <f t="shared" si="378"/>
        <v>0</v>
      </c>
      <c r="H110" s="297">
        <f t="shared" si="378"/>
        <v>0</v>
      </c>
      <c r="I110" s="260">
        <f t="shared" si="412"/>
        <v>0</v>
      </c>
      <c r="J110" s="296">
        <f t="shared" ref="J110:K110" si="472">J9*J19</f>
        <v>0</v>
      </c>
      <c r="K110" s="297">
        <f t="shared" si="472"/>
        <v>0</v>
      </c>
      <c r="L110" s="260">
        <f t="shared" si="414"/>
        <v>0</v>
      </c>
      <c r="M110" s="296">
        <f t="shared" ref="M110:N110" si="473">M9*M19</f>
        <v>0</v>
      </c>
      <c r="N110" s="297">
        <f t="shared" si="473"/>
        <v>0</v>
      </c>
      <c r="O110" s="260">
        <f t="shared" si="416"/>
        <v>0</v>
      </c>
      <c r="P110" s="296">
        <f t="shared" ref="P110:Q110" si="474">P9*P19</f>
        <v>0</v>
      </c>
      <c r="Q110" s="297">
        <f t="shared" si="474"/>
        <v>0</v>
      </c>
      <c r="R110" s="260">
        <f t="shared" si="382"/>
        <v>0</v>
      </c>
      <c r="S110" s="296">
        <f t="shared" ref="S110:T110" si="475">S9*S19</f>
        <v>0</v>
      </c>
      <c r="T110" s="297">
        <f t="shared" si="475"/>
        <v>0</v>
      </c>
      <c r="U110" s="260">
        <f t="shared" si="384"/>
        <v>0</v>
      </c>
      <c r="V110" s="296">
        <f t="shared" ref="V110:W110" si="476">V9*V19</f>
        <v>0</v>
      </c>
      <c r="W110" s="297">
        <f t="shared" si="476"/>
        <v>0</v>
      </c>
      <c r="X110" s="260">
        <f t="shared" si="386"/>
        <v>0</v>
      </c>
      <c r="Y110" s="296">
        <f t="shared" ref="Y110:Z110" si="477">Y9*Y19</f>
        <v>0</v>
      </c>
      <c r="Z110" s="297">
        <f t="shared" si="477"/>
        <v>0</v>
      </c>
      <c r="AA110" s="260">
        <f t="shared" si="421"/>
        <v>0</v>
      </c>
      <c r="AB110" s="296">
        <f t="shared" ref="AB110:AC110" si="478">AB9*AB19</f>
        <v>0</v>
      </c>
      <c r="AC110" s="297">
        <f t="shared" si="478"/>
        <v>0</v>
      </c>
      <c r="AD110" s="260">
        <f t="shared" si="423"/>
        <v>0</v>
      </c>
      <c r="AE110" s="296">
        <f t="shared" ref="AE110:AF110" si="479">AE9*AE19</f>
        <v>0</v>
      </c>
      <c r="AF110" s="297">
        <f t="shared" si="479"/>
        <v>0</v>
      </c>
      <c r="AG110" s="260">
        <f t="shared" si="390"/>
        <v>0</v>
      </c>
      <c r="AH110" s="296">
        <f t="shared" ref="AH110:AI110" si="480">AH9*AH19</f>
        <v>0</v>
      </c>
      <c r="AI110" s="297">
        <f t="shared" si="480"/>
        <v>0</v>
      </c>
      <c r="AJ110" s="260">
        <f t="shared" si="392"/>
        <v>0</v>
      </c>
      <c r="AK110" s="296">
        <f t="shared" ref="AK110:AL110" si="481">AK9*AK19</f>
        <v>0</v>
      </c>
      <c r="AL110" s="297">
        <f t="shared" si="481"/>
        <v>0</v>
      </c>
      <c r="AM110" s="260">
        <f t="shared" si="394"/>
        <v>0</v>
      </c>
      <c r="AN110" s="296">
        <f t="shared" ref="AN110:AO110" si="482">AN9*AN19</f>
        <v>0</v>
      </c>
      <c r="AO110" s="297">
        <f t="shared" si="482"/>
        <v>0</v>
      </c>
      <c r="AP110" s="260">
        <f t="shared" si="428"/>
        <v>0</v>
      </c>
      <c r="AQ110" s="296">
        <f t="shared" ref="AQ110:AR110" si="483">AQ9*AQ19</f>
        <v>0</v>
      </c>
      <c r="AR110" s="297">
        <f t="shared" si="483"/>
        <v>0</v>
      </c>
      <c r="AS110" s="260">
        <f t="shared" si="430"/>
        <v>0</v>
      </c>
      <c r="AT110" s="296">
        <f t="shared" ref="AT110:AU110" si="484">AT9*AT19</f>
        <v>0</v>
      </c>
      <c r="AU110" s="297">
        <f t="shared" si="484"/>
        <v>0</v>
      </c>
      <c r="AV110" s="260">
        <f t="shared" si="398"/>
        <v>0</v>
      </c>
      <c r="AW110" s="296">
        <f t="shared" ref="AW110:AX110" si="485">AW9*AW19</f>
        <v>0</v>
      </c>
      <c r="AX110" s="297">
        <f t="shared" si="485"/>
        <v>0</v>
      </c>
      <c r="AY110" s="260">
        <f t="shared" si="400"/>
        <v>0</v>
      </c>
      <c r="AZ110" s="296">
        <f t="shared" ref="AZ110:BA110" si="486">AZ9*AZ19</f>
        <v>0</v>
      </c>
      <c r="BA110" s="297">
        <f t="shared" si="486"/>
        <v>0</v>
      </c>
      <c r="BB110" s="260">
        <f t="shared" si="402"/>
        <v>0</v>
      </c>
      <c r="BC110" s="296">
        <f t="shared" ref="BC110:BD110" si="487">BC9*BC19</f>
        <v>0</v>
      </c>
      <c r="BD110" s="297">
        <f t="shared" si="487"/>
        <v>0</v>
      </c>
      <c r="BE110" s="260">
        <f t="shared" si="435"/>
        <v>0</v>
      </c>
      <c r="BF110" s="296">
        <f t="shared" ref="BF110:BG110" si="488">BF9*BF19</f>
        <v>0</v>
      </c>
      <c r="BG110" s="297">
        <f t="shared" si="488"/>
        <v>0</v>
      </c>
      <c r="BH110" s="260">
        <f t="shared" si="437"/>
        <v>0</v>
      </c>
      <c r="BI110" s="296">
        <f t="shared" si="405"/>
        <v>0</v>
      </c>
      <c r="BJ110" s="297">
        <f t="shared" si="405"/>
        <v>0</v>
      </c>
      <c r="BK110" s="260">
        <f t="shared" si="406"/>
        <v>0</v>
      </c>
      <c r="BL110" s="296">
        <f t="shared" si="407"/>
        <v>0</v>
      </c>
      <c r="BM110" s="297">
        <f t="shared" si="407"/>
        <v>0</v>
      </c>
      <c r="BN110" s="260">
        <f t="shared" si="408"/>
        <v>0</v>
      </c>
      <c r="BO110" s="296">
        <f t="shared" si="409"/>
        <v>0</v>
      </c>
      <c r="BP110" s="297">
        <f t="shared" si="409"/>
        <v>0</v>
      </c>
      <c r="BQ110" s="260">
        <f t="shared" si="410"/>
        <v>0</v>
      </c>
    </row>
    <row r="111" spans="1:69">
      <c r="A111" s="780"/>
      <c r="B111" s="782"/>
      <c r="C111" s="288" t="s">
        <v>169</v>
      </c>
      <c r="D111" s="289">
        <f t="shared" si="356"/>
        <v>0</v>
      </c>
      <c r="E111" s="290">
        <f t="shared" si="159"/>
        <v>0</v>
      </c>
      <c r="F111" s="291">
        <f t="shared" si="411"/>
        <v>0</v>
      </c>
      <c r="G111" s="296">
        <f t="shared" si="378"/>
        <v>0</v>
      </c>
      <c r="H111" s="297">
        <f t="shared" si="378"/>
        <v>0</v>
      </c>
      <c r="I111" s="260">
        <f t="shared" si="412"/>
        <v>0</v>
      </c>
      <c r="J111" s="296">
        <f t="shared" ref="J111:K111" si="489">J10*J20</f>
        <v>0</v>
      </c>
      <c r="K111" s="297">
        <f t="shared" si="489"/>
        <v>0</v>
      </c>
      <c r="L111" s="260">
        <f t="shared" si="414"/>
        <v>0</v>
      </c>
      <c r="M111" s="296">
        <f t="shared" ref="M111:N111" si="490">M10*M20</f>
        <v>0</v>
      </c>
      <c r="N111" s="297">
        <f t="shared" si="490"/>
        <v>0</v>
      </c>
      <c r="O111" s="260">
        <f t="shared" si="416"/>
        <v>0</v>
      </c>
      <c r="P111" s="296">
        <f t="shared" ref="P111:Q111" si="491">P10*P20</f>
        <v>0</v>
      </c>
      <c r="Q111" s="297">
        <f t="shared" si="491"/>
        <v>0</v>
      </c>
      <c r="R111" s="260">
        <f t="shared" si="382"/>
        <v>0</v>
      </c>
      <c r="S111" s="296">
        <f t="shared" ref="S111:T111" si="492">S10*S20</f>
        <v>0</v>
      </c>
      <c r="T111" s="297">
        <f t="shared" si="492"/>
        <v>0</v>
      </c>
      <c r="U111" s="260">
        <f t="shared" si="384"/>
        <v>0</v>
      </c>
      <c r="V111" s="296">
        <f t="shared" ref="V111:W111" si="493">V10*V20</f>
        <v>0</v>
      </c>
      <c r="W111" s="297">
        <f t="shared" si="493"/>
        <v>0</v>
      </c>
      <c r="X111" s="260">
        <f t="shared" si="386"/>
        <v>0</v>
      </c>
      <c r="Y111" s="296">
        <f t="shared" ref="Y111:Z111" si="494">Y10*Y20</f>
        <v>0</v>
      </c>
      <c r="Z111" s="297">
        <f t="shared" si="494"/>
        <v>0</v>
      </c>
      <c r="AA111" s="260">
        <f t="shared" si="421"/>
        <v>0</v>
      </c>
      <c r="AB111" s="296">
        <f t="shared" ref="AB111:AC111" si="495">AB10*AB20</f>
        <v>0</v>
      </c>
      <c r="AC111" s="297">
        <f t="shared" si="495"/>
        <v>0</v>
      </c>
      <c r="AD111" s="260">
        <f t="shared" si="423"/>
        <v>0</v>
      </c>
      <c r="AE111" s="296">
        <f t="shared" ref="AE111:AF111" si="496">AE10*AE20</f>
        <v>0</v>
      </c>
      <c r="AF111" s="297">
        <f t="shared" si="496"/>
        <v>0</v>
      </c>
      <c r="AG111" s="260">
        <f t="shared" si="390"/>
        <v>0</v>
      </c>
      <c r="AH111" s="296">
        <f t="shared" ref="AH111:AI111" si="497">AH10*AH20</f>
        <v>0</v>
      </c>
      <c r="AI111" s="297">
        <f t="shared" si="497"/>
        <v>0</v>
      </c>
      <c r="AJ111" s="260">
        <f t="shared" si="392"/>
        <v>0</v>
      </c>
      <c r="AK111" s="296">
        <f t="shared" ref="AK111:AL111" si="498">AK10*AK20</f>
        <v>0</v>
      </c>
      <c r="AL111" s="297">
        <f t="shared" si="498"/>
        <v>0</v>
      </c>
      <c r="AM111" s="260">
        <f t="shared" si="394"/>
        <v>0</v>
      </c>
      <c r="AN111" s="296">
        <f t="shared" ref="AN111:AO111" si="499">AN10*AN20</f>
        <v>0</v>
      </c>
      <c r="AO111" s="297">
        <f t="shared" si="499"/>
        <v>0</v>
      </c>
      <c r="AP111" s="260">
        <f t="shared" si="428"/>
        <v>0</v>
      </c>
      <c r="AQ111" s="296">
        <f t="shared" ref="AQ111:AR111" si="500">AQ10*AQ20</f>
        <v>0</v>
      </c>
      <c r="AR111" s="297">
        <f t="shared" si="500"/>
        <v>0</v>
      </c>
      <c r="AS111" s="260">
        <f t="shared" si="430"/>
        <v>0</v>
      </c>
      <c r="AT111" s="296">
        <f t="shared" ref="AT111:AU111" si="501">AT10*AT20</f>
        <v>0</v>
      </c>
      <c r="AU111" s="297">
        <f t="shared" si="501"/>
        <v>0</v>
      </c>
      <c r="AV111" s="260">
        <f t="shared" si="398"/>
        <v>0</v>
      </c>
      <c r="AW111" s="296">
        <f t="shared" ref="AW111:AX111" si="502">AW10*AW20</f>
        <v>0</v>
      </c>
      <c r="AX111" s="297">
        <f t="shared" si="502"/>
        <v>0</v>
      </c>
      <c r="AY111" s="260">
        <f t="shared" si="400"/>
        <v>0</v>
      </c>
      <c r="AZ111" s="296">
        <f t="shared" ref="AZ111:BA111" si="503">AZ10*AZ20</f>
        <v>0</v>
      </c>
      <c r="BA111" s="297">
        <f t="shared" si="503"/>
        <v>0</v>
      </c>
      <c r="BB111" s="260">
        <f t="shared" si="402"/>
        <v>0</v>
      </c>
      <c r="BC111" s="296">
        <f t="shared" ref="BC111:BD111" si="504">BC10*BC20</f>
        <v>0</v>
      </c>
      <c r="BD111" s="297">
        <f t="shared" si="504"/>
        <v>0</v>
      </c>
      <c r="BE111" s="260">
        <f t="shared" si="435"/>
        <v>0</v>
      </c>
      <c r="BF111" s="296">
        <f t="shared" ref="BF111:BG111" si="505">BF10*BF20</f>
        <v>0</v>
      </c>
      <c r="BG111" s="297">
        <f t="shared" si="505"/>
        <v>0</v>
      </c>
      <c r="BH111" s="260">
        <f t="shared" si="437"/>
        <v>0</v>
      </c>
      <c r="BI111" s="296">
        <f t="shared" si="405"/>
        <v>0</v>
      </c>
      <c r="BJ111" s="297">
        <f t="shared" si="405"/>
        <v>0</v>
      </c>
      <c r="BK111" s="260">
        <f t="shared" si="406"/>
        <v>0</v>
      </c>
      <c r="BL111" s="296">
        <f t="shared" si="407"/>
        <v>0</v>
      </c>
      <c r="BM111" s="297">
        <f t="shared" si="407"/>
        <v>0</v>
      </c>
      <c r="BN111" s="260">
        <f t="shared" si="408"/>
        <v>0</v>
      </c>
      <c r="BO111" s="296">
        <f t="shared" si="409"/>
        <v>0</v>
      </c>
      <c r="BP111" s="297">
        <f t="shared" si="409"/>
        <v>0</v>
      </c>
      <c r="BQ111" s="260">
        <f t="shared" si="410"/>
        <v>0</v>
      </c>
    </row>
    <row r="112" spans="1:69">
      <c r="A112" s="780"/>
      <c r="B112" s="782"/>
      <c r="C112" s="288" t="s">
        <v>170</v>
      </c>
      <c r="D112" s="289">
        <f t="shared" ref="D112:D115" si="506">SUM(G112,J112,M112,P112,S112,V112,Y112,AB112,AE112,AH112,AK112,AN112,AQ112,AT112,AW112,AZ112,AZ112,BC112,BF112,BI112,BL112,BO112)</f>
        <v>0</v>
      </c>
      <c r="E112" s="290">
        <f t="shared" si="159"/>
        <v>0</v>
      </c>
      <c r="F112" s="291">
        <f t="shared" si="411"/>
        <v>0</v>
      </c>
      <c r="G112" s="296">
        <f t="shared" si="378"/>
        <v>0</v>
      </c>
      <c r="H112" s="297">
        <f t="shared" si="378"/>
        <v>0</v>
      </c>
      <c r="I112" s="260">
        <f t="shared" si="412"/>
        <v>0</v>
      </c>
      <c r="J112" s="296">
        <f t="shared" ref="J112:K112" si="507">J11*J21</f>
        <v>0</v>
      </c>
      <c r="K112" s="297">
        <f t="shared" si="507"/>
        <v>0</v>
      </c>
      <c r="L112" s="260">
        <f t="shared" si="414"/>
        <v>0</v>
      </c>
      <c r="M112" s="296">
        <f t="shared" ref="M112:N112" si="508">M11*M21</f>
        <v>0</v>
      </c>
      <c r="N112" s="297">
        <f t="shared" si="508"/>
        <v>0</v>
      </c>
      <c r="O112" s="260">
        <f t="shared" si="416"/>
        <v>0</v>
      </c>
      <c r="P112" s="296">
        <f t="shared" ref="P112:Q112" si="509">P11*P21</f>
        <v>0</v>
      </c>
      <c r="Q112" s="297">
        <f t="shared" si="509"/>
        <v>0</v>
      </c>
      <c r="R112" s="260">
        <f t="shared" si="382"/>
        <v>0</v>
      </c>
      <c r="S112" s="296">
        <f t="shared" ref="S112:T112" si="510">S11*S21</f>
        <v>0</v>
      </c>
      <c r="T112" s="297">
        <f t="shared" si="510"/>
        <v>0</v>
      </c>
      <c r="U112" s="260">
        <f t="shared" si="384"/>
        <v>0</v>
      </c>
      <c r="V112" s="296">
        <f t="shared" ref="V112:W112" si="511">V11*V21</f>
        <v>0</v>
      </c>
      <c r="W112" s="297">
        <f t="shared" si="511"/>
        <v>0</v>
      </c>
      <c r="X112" s="260">
        <f t="shared" si="386"/>
        <v>0</v>
      </c>
      <c r="Y112" s="296">
        <f t="shared" ref="Y112:Z112" si="512">Y11*Y21</f>
        <v>0</v>
      </c>
      <c r="Z112" s="297">
        <f t="shared" si="512"/>
        <v>0</v>
      </c>
      <c r="AA112" s="260">
        <f t="shared" si="421"/>
        <v>0</v>
      </c>
      <c r="AB112" s="296">
        <f t="shared" ref="AB112:AC112" si="513">AB11*AB21</f>
        <v>0</v>
      </c>
      <c r="AC112" s="297">
        <f t="shared" si="513"/>
        <v>0</v>
      </c>
      <c r="AD112" s="260">
        <f t="shared" si="423"/>
        <v>0</v>
      </c>
      <c r="AE112" s="296">
        <f t="shared" ref="AE112:AF112" si="514">AE11*AE21</f>
        <v>0</v>
      </c>
      <c r="AF112" s="297">
        <f t="shared" si="514"/>
        <v>0</v>
      </c>
      <c r="AG112" s="260">
        <f t="shared" si="390"/>
        <v>0</v>
      </c>
      <c r="AH112" s="296">
        <f t="shared" ref="AH112:AI112" si="515">AH11*AH21</f>
        <v>0</v>
      </c>
      <c r="AI112" s="297">
        <f t="shared" si="515"/>
        <v>0</v>
      </c>
      <c r="AJ112" s="260">
        <f t="shared" si="392"/>
        <v>0</v>
      </c>
      <c r="AK112" s="296">
        <f t="shared" ref="AK112:AL112" si="516">AK11*AK21</f>
        <v>0</v>
      </c>
      <c r="AL112" s="297">
        <f t="shared" si="516"/>
        <v>0</v>
      </c>
      <c r="AM112" s="260">
        <f t="shared" si="394"/>
        <v>0</v>
      </c>
      <c r="AN112" s="296">
        <f t="shared" ref="AN112:AO112" si="517">AN11*AN21</f>
        <v>0</v>
      </c>
      <c r="AO112" s="297">
        <f t="shared" si="517"/>
        <v>0</v>
      </c>
      <c r="AP112" s="260">
        <f t="shared" si="428"/>
        <v>0</v>
      </c>
      <c r="AQ112" s="296">
        <f t="shared" ref="AQ112:AR112" si="518">AQ11*AQ21</f>
        <v>0</v>
      </c>
      <c r="AR112" s="297">
        <f t="shared" si="518"/>
        <v>0</v>
      </c>
      <c r="AS112" s="260">
        <f t="shared" si="430"/>
        <v>0</v>
      </c>
      <c r="AT112" s="296">
        <f t="shared" ref="AT112:AU112" si="519">AT11*AT21</f>
        <v>0</v>
      </c>
      <c r="AU112" s="297">
        <f t="shared" si="519"/>
        <v>0</v>
      </c>
      <c r="AV112" s="260">
        <f t="shared" si="398"/>
        <v>0</v>
      </c>
      <c r="AW112" s="296">
        <f t="shared" ref="AW112:AX112" si="520">AW11*AW21</f>
        <v>0</v>
      </c>
      <c r="AX112" s="297">
        <f t="shared" si="520"/>
        <v>0</v>
      </c>
      <c r="AY112" s="260">
        <f t="shared" si="400"/>
        <v>0</v>
      </c>
      <c r="AZ112" s="296">
        <f t="shared" ref="AZ112:BA112" si="521">AZ11*AZ21</f>
        <v>0</v>
      </c>
      <c r="BA112" s="297">
        <f t="shared" si="521"/>
        <v>0</v>
      </c>
      <c r="BB112" s="260">
        <f t="shared" si="402"/>
        <v>0</v>
      </c>
      <c r="BC112" s="296">
        <f t="shared" ref="BC112:BD112" si="522">BC11*BC21</f>
        <v>0</v>
      </c>
      <c r="BD112" s="297">
        <f t="shared" si="522"/>
        <v>0</v>
      </c>
      <c r="BE112" s="260">
        <f t="shared" si="435"/>
        <v>0</v>
      </c>
      <c r="BF112" s="296">
        <f t="shared" ref="BF112:BG112" si="523">BF11*BF21</f>
        <v>0</v>
      </c>
      <c r="BG112" s="297">
        <f t="shared" si="523"/>
        <v>0</v>
      </c>
      <c r="BH112" s="260">
        <f t="shared" si="437"/>
        <v>0</v>
      </c>
      <c r="BI112" s="296">
        <f t="shared" si="405"/>
        <v>0</v>
      </c>
      <c r="BJ112" s="297">
        <f t="shared" si="405"/>
        <v>0</v>
      </c>
      <c r="BK112" s="260">
        <f t="shared" si="406"/>
        <v>0</v>
      </c>
      <c r="BL112" s="296">
        <f t="shared" si="407"/>
        <v>0</v>
      </c>
      <c r="BM112" s="297">
        <f t="shared" si="407"/>
        <v>0</v>
      </c>
      <c r="BN112" s="260">
        <f t="shared" si="408"/>
        <v>0</v>
      </c>
      <c r="BO112" s="296">
        <f t="shared" si="409"/>
        <v>0</v>
      </c>
      <c r="BP112" s="297">
        <f t="shared" si="409"/>
        <v>0</v>
      </c>
      <c r="BQ112" s="260">
        <f t="shared" si="410"/>
        <v>0</v>
      </c>
    </row>
    <row r="113" spans="1:70">
      <c r="A113" s="780"/>
      <c r="B113" s="782"/>
      <c r="C113" s="288" t="s">
        <v>171</v>
      </c>
      <c r="D113" s="289">
        <f t="shared" si="506"/>
        <v>0</v>
      </c>
      <c r="E113" s="290">
        <f t="shared" si="159"/>
        <v>0</v>
      </c>
      <c r="F113" s="291">
        <f t="shared" si="411"/>
        <v>0</v>
      </c>
      <c r="G113" s="296">
        <f t="shared" si="378"/>
        <v>0</v>
      </c>
      <c r="H113" s="297">
        <f t="shared" si="378"/>
        <v>0</v>
      </c>
      <c r="I113" s="260">
        <f t="shared" si="412"/>
        <v>0</v>
      </c>
      <c r="J113" s="296">
        <f t="shared" ref="J113:K113" si="524">J12*J22</f>
        <v>0</v>
      </c>
      <c r="K113" s="297">
        <f t="shared" si="524"/>
        <v>0</v>
      </c>
      <c r="L113" s="260">
        <f t="shared" si="414"/>
        <v>0</v>
      </c>
      <c r="M113" s="296">
        <f t="shared" ref="M113:N113" si="525">M12*M22</f>
        <v>0</v>
      </c>
      <c r="N113" s="297">
        <f t="shared" si="525"/>
        <v>0</v>
      </c>
      <c r="O113" s="260">
        <f t="shared" si="416"/>
        <v>0</v>
      </c>
      <c r="P113" s="296">
        <f t="shared" ref="P113:Q113" si="526">P12*P22</f>
        <v>0</v>
      </c>
      <c r="Q113" s="297">
        <f t="shared" si="526"/>
        <v>0</v>
      </c>
      <c r="R113" s="260">
        <f t="shared" si="382"/>
        <v>0</v>
      </c>
      <c r="S113" s="296">
        <f t="shared" ref="S113:T113" si="527">S12*S22</f>
        <v>0</v>
      </c>
      <c r="T113" s="297">
        <f t="shared" si="527"/>
        <v>0</v>
      </c>
      <c r="U113" s="260">
        <f t="shared" si="384"/>
        <v>0</v>
      </c>
      <c r="V113" s="296">
        <f t="shared" ref="V113:W113" si="528">V12*V22</f>
        <v>0</v>
      </c>
      <c r="W113" s="297">
        <f t="shared" si="528"/>
        <v>0</v>
      </c>
      <c r="X113" s="260">
        <f t="shared" si="386"/>
        <v>0</v>
      </c>
      <c r="Y113" s="296">
        <f t="shared" ref="Y113:Z113" si="529">Y12*Y22</f>
        <v>0</v>
      </c>
      <c r="Z113" s="297">
        <f t="shared" si="529"/>
        <v>0</v>
      </c>
      <c r="AA113" s="260">
        <f t="shared" si="421"/>
        <v>0</v>
      </c>
      <c r="AB113" s="296">
        <f t="shared" ref="AB113:AC113" si="530">AB12*AB22</f>
        <v>0</v>
      </c>
      <c r="AC113" s="297">
        <f t="shared" si="530"/>
        <v>0</v>
      </c>
      <c r="AD113" s="260">
        <f t="shared" si="423"/>
        <v>0</v>
      </c>
      <c r="AE113" s="296">
        <f t="shared" ref="AE113:AF113" si="531">AE12*AE22</f>
        <v>0</v>
      </c>
      <c r="AF113" s="297">
        <f t="shared" si="531"/>
        <v>0</v>
      </c>
      <c r="AG113" s="260">
        <f t="shared" si="390"/>
        <v>0</v>
      </c>
      <c r="AH113" s="296">
        <f t="shared" ref="AH113:AI113" si="532">AH12*AH22</f>
        <v>0</v>
      </c>
      <c r="AI113" s="297">
        <f t="shared" si="532"/>
        <v>0</v>
      </c>
      <c r="AJ113" s="260">
        <f t="shared" si="392"/>
        <v>0</v>
      </c>
      <c r="AK113" s="296">
        <f t="shared" ref="AK113:AL113" si="533">AK12*AK22</f>
        <v>0</v>
      </c>
      <c r="AL113" s="297">
        <f t="shared" si="533"/>
        <v>0</v>
      </c>
      <c r="AM113" s="260">
        <f t="shared" si="394"/>
        <v>0</v>
      </c>
      <c r="AN113" s="296">
        <f t="shared" ref="AN113:AO113" si="534">AN12*AN22</f>
        <v>0</v>
      </c>
      <c r="AO113" s="297">
        <f t="shared" si="534"/>
        <v>0</v>
      </c>
      <c r="AP113" s="260">
        <f t="shared" si="428"/>
        <v>0</v>
      </c>
      <c r="AQ113" s="296">
        <f t="shared" ref="AQ113:AR113" si="535">AQ12*AQ22</f>
        <v>0</v>
      </c>
      <c r="AR113" s="297">
        <f t="shared" si="535"/>
        <v>0</v>
      </c>
      <c r="AS113" s="260">
        <f t="shared" si="430"/>
        <v>0</v>
      </c>
      <c r="AT113" s="296">
        <f t="shared" ref="AT113:AU113" si="536">AT12*AT22</f>
        <v>0</v>
      </c>
      <c r="AU113" s="297">
        <f t="shared" si="536"/>
        <v>0</v>
      </c>
      <c r="AV113" s="260">
        <f t="shared" si="398"/>
        <v>0</v>
      </c>
      <c r="AW113" s="296">
        <f t="shared" ref="AW113:AX113" si="537">AW12*AW22</f>
        <v>0</v>
      </c>
      <c r="AX113" s="297">
        <f t="shared" si="537"/>
        <v>0</v>
      </c>
      <c r="AY113" s="260">
        <f t="shared" si="400"/>
        <v>0</v>
      </c>
      <c r="AZ113" s="296">
        <f t="shared" ref="AZ113:BA113" si="538">AZ12*AZ22</f>
        <v>0</v>
      </c>
      <c r="BA113" s="297">
        <f t="shared" si="538"/>
        <v>0</v>
      </c>
      <c r="BB113" s="260">
        <f t="shared" si="402"/>
        <v>0</v>
      </c>
      <c r="BC113" s="296">
        <f t="shared" ref="BC113:BD113" si="539">BC12*BC22</f>
        <v>0</v>
      </c>
      <c r="BD113" s="297">
        <f t="shared" si="539"/>
        <v>0</v>
      </c>
      <c r="BE113" s="260">
        <f t="shared" si="435"/>
        <v>0</v>
      </c>
      <c r="BF113" s="296">
        <f t="shared" ref="BF113:BG113" si="540">BF12*BF22</f>
        <v>0</v>
      </c>
      <c r="BG113" s="297">
        <f t="shared" si="540"/>
        <v>0</v>
      </c>
      <c r="BH113" s="260">
        <f t="shared" si="437"/>
        <v>0</v>
      </c>
      <c r="BI113" s="296">
        <f t="shared" si="405"/>
        <v>0</v>
      </c>
      <c r="BJ113" s="297">
        <f t="shared" si="405"/>
        <v>0</v>
      </c>
      <c r="BK113" s="260">
        <f t="shared" si="406"/>
        <v>0</v>
      </c>
      <c r="BL113" s="296">
        <f t="shared" si="407"/>
        <v>0</v>
      </c>
      <c r="BM113" s="297">
        <f t="shared" si="407"/>
        <v>0</v>
      </c>
      <c r="BN113" s="260">
        <f t="shared" si="408"/>
        <v>0</v>
      </c>
      <c r="BO113" s="296">
        <f t="shared" si="409"/>
        <v>0</v>
      </c>
      <c r="BP113" s="297">
        <f t="shared" si="409"/>
        <v>0</v>
      </c>
      <c r="BQ113" s="260">
        <f t="shared" si="410"/>
        <v>0</v>
      </c>
    </row>
    <row r="114" spans="1:70">
      <c r="A114" s="780"/>
      <c r="B114" s="782"/>
      <c r="C114" s="288" t="s">
        <v>172</v>
      </c>
      <c r="D114" s="289">
        <f t="shared" si="506"/>
        <v>0</v>
      </c>
      <c r="E114" s="290">
        <f t="shared" si="159"/>
        <v>0</v>
      </c>
      <c r="F114" s="291">
        <f t="shared" si="411"/>
        <v>0</v>
      </c>
      <c r="G114" s="296">
        <f t="shared" si="378"/>
        <v>0</v>
      </c>
      <c r="H114" s="297">
        <f t="shared" si="378"/>
        <v>0</v>
      </c>
      <c r="I114" s="260">
        <f t="shared" si="412"/>
        <v>0</v>
      </c>
      <c r="J114" s="296">
        <f t="shared" ref="J114:K114" si="541">J13*J23</f>
        <v>0</v>
      </c>
      <c r="K114" s="297">
        <f t="shared" si="541"/>
        <v>0</v>
      </c>
      <c r="L114" s="260">
        <f t="shared" si="414"/>
        <v>0</v>
      </c>
      <c r="M114" s="296">
        <f t="shared" ref="M114:N114" si="542">M13*M23</f>
        <v>0</v>
      </c>
      <c r="N114" s="297">
        <f t="shared" si="542"/>
        <v>0</v>
      </c>
      <c r="O114" s="260">
        <f t="shared" si="416"/>
        <v>0</v>
      </c>
      <c r="P114" s="296">
        <f t="shared" ref="P114:Q114" si="543">P13*P23</f>
        <v>0</v>
      </c>
      <c r="Q114" s="297">
        <f t="shared" si="543"/>
        <v>0</v>
      </c>
      <c r="R114" s="260">
        <f t="shared" si="382"/>
        <v>0</v>
      </c>
      <c r="S114" s="296">
        <f t="shared" ref="S114:T114" si="544">S13*S23</f>
        <v>0</v>
      </c>
      <c r="T114" s="297">
        <f t="shared" si="544"/>
        <v>0</v>
      </c>
      <c r="U114" s="260">
        <f t="shared" si="384"/>
        <v>0</v>
      </c>
      <c r="V114" s="296">
        <f t="shared" ref="V114:W114" si="545">V13*V23</f>
        <v>0</v>
      </c>
      <c r="W114" s="297">
        <f t="shared" si="545"/>
        <v>0</v>
      </c>
      <c r="X114" s="260">
        <f t="shared" si="386"/>
        <v>0</v>
      </c>
      <c r="Y114" s="296">
        <f t="shared" ref="Y114:Z114" si="546">Y13*Y23</f>
        <v>0</v>
      </c>
      <c r="Z114" s="297">
        <f t="shared" si="546"/>
        <v>0</v>
      </c>
      <c r="AA114" s="260">
        <f t="shared" si="421"/>
        <v>0</v>
      </c>
      <c r="AB114" s="296">
        <f t="shared" ref="AB114:AC114" si="547">AB13*AB23</f>
        <v>0</v>
      </c>
      <c r="AC114" s="297">
        <f t="shared" si="547"/>
        <v>0</v>
      </c>
      <c r="AD114" s="260">
        <f t="shared" si="423"/>
        <v>0</v>
      </c>
      <c r="AE114" s="296">
        <f t="shared" ref="AE114:AF114" si="548">AE13*AE23</f>
        <v>0</v>
      </c>
      <c r="AF114" s="297">
        <f t="shared" si="548"/>
        <v>0</v>
      </c>
      <c r="AG114" s="260">
        <f t="shared" si="390"/>
        <v>0</v>
      </c>
      <c r="AH114" s="296">
        <f t="shared" ref="AH114:AI114" si="549">AH13*AH23</f>
        <v>0</v>
      </c>
      <c r="AI114" s="297">
        <f t="shared" si="549"/>
        <v>0</v>
      </c>
      <c r="AJ114" s="260">
        <f t="shared" si="392"/>
        <v>0</v>
      </c>
      <c r="AK114" s="296">
        <f t="shared" ref="AK114:AL114" si="550">AK13*AK23</f>
        <v>0</v>
      </c>
      <c r="AL114" s="297">
        <f t="shared" si="550"/>
        <v>0</v>
      </c>
      <c r="AM114" s="260">
        <f t="shared" si="394"/>
        <v>0</v>
      </c>
      <c r="AN114" s="296">
        <f t="shared" ref="AN114:AO114" si="551">AN13*AN23</f>
        <v>0</v>
      </c>
      <c r="AO114" s="297">
        <f t="shared" si="551"/>
        <v>0</v>
      </c>
      <c r="AP114" s="260">
        <f t="shared" si="428"/>
        <v>0</v>
      </c>
      <c r="AQ114" s="296">
        <f t="shared" ref="AQ114:AR114" si="552">AQ13*AQ23</f>
        <v>0</v>
      </c>
      <c r="AR114" s="297">
        <f t="shared" si="552"/>
        <v>0</v>
      </c>
      <c r="AS114" s="260">
        <f t="shared" si="430"/>
        <v>0</v>
      </c>
      <c r="AT114" s="296">
        <f t="shared" ref="AT114:AU114" si="553">AT13*AT23</f>
        <v>0</v>
      </c>
      <c r="AU114" s="297">
        <f t="shared" si="553"/>
        <v>0</v>
      </c>
      <c r="AV114" s="260">
        <f t="shared" si="398"/>
        <v>0</v>
      </c>
      <c r="AW114" s="296">
        <f t="shared" ref="AW114:AX114" si="554">AW13*AW23</f>
        <v>0</v>
      </c>
      <c r="AX114" s="297">
        <f t="shared" si="554"/>
        <v>0</v>
      </c>
      <c r="AY114" s="260">
        <f t="shared" si="400"/>
        <v>0</v>
      </c>
      <c r="AZ114" s="296">
        <f t="shared" ref="AZ114:BA114" si="555">AZ13*AZ23</f>
        <v>0</v>
      </c>
      <c r="BA114" s="297">
        <f t="shared" si="555"/>
        <v>0</v>
      </c>
      <c r="BB114" s="260">
        <f t="shared" si="402"/>
        <v>0</v>
      </c>
      <c r="BC114" s="296">
        <f t="shared" ref="BC114:BD114" si="556">BC13*BC23</f>
        <v>0</v>
      </c>
      <c r="BD114" s="297">
        <f t="shared" si="556"/>
        <v>0</v>
      </c>
      <c r="BE114" s="260">
        <f t="shared" si="435"/>
        <v>0</v>
      </c>
      <c r="BF114" s="296">
        <f t="shared" ref="BF114:BG114" si="557">BF13*BF23</f>
        <v>0</v>
      </c>
      <c r="BG114" s="297">
        <f t="shared" si="557"/>
        <v>0</v>
      </c>
      <c r="BH114" s="260">
        <f t="shared" si="437"/>
        <v>0</v>
      </c>
      <c r="BI114" s="296">
        <f t="shared" si="405"/>
        <v>0</v>
      </c>
      <c r="BJ114" s="297">
        <f t="shared" si="405"/>
        <v>0</v>
      </c>
      <c r="BK114" s="260">
        <f t="shared" si="406"/>
        <v>0</v>
      </c>
      <c r="BL114" s="296">
        <f t="shared" si="407"/>
        <v>0</v>
      </c>
      <c r="BM114" s="297">
        <f t="shared" si="407"/>
        <v>0</v>
      </c>
      <c r="BN114" s="260">
        <f t="shared" si="408"/>
        <v>0</v>
      </c>
      <c r="BO114" s="296">
        <f t="shared" si="409"/>
        <v>0</v>
      </c>
      <c r="BP114" s="297">
        <f t="shared" si="409"/>
        <v>0</v>
      </c>
      <c r="BQ114" s="260">
        <f t="shared" si="410"/>
        <v>0</v>
      </c>
    </row>
    <row r="115" spans="1:70" ht="15.75" thickBot="1">
      <c r="A115" s="781"/>
      <c r="B115" s="783"/>
      <c r="C115" s="298" t="s">
        <v>173</v>
      </c>
      <c r="D115" s="299">
        <f t="shared" si="506"/>
        <v>0</v>
      </c>
      <c r="E115" s="300">
        <f t="shared" si="159"/>
        <v>0</v>
      </c>
      <c r="F115" s="301">
        <f t="shared" si="411"/>
        <v>0</v>
      </c>
      <c r="G115" s="302">
        <f t="shared" si="378"/>
        <v>0</v>
      </c>
      <c r="H115" s="303">
        <f t="shared" si="378"/>
        <v>0</v>
      </c>
      <c r="I115" s="265">
        <f t="shared" si="412"/>
        <v>0</v>
      </c>
      <c r="J115" s="302">
        <f t="shared" ref="J115:K115" si="558">J14*J24</f>
        <v>0</v>
      </c>
      <c r="K115" s="303">
        <f t="shared" si="558"/>
        <v>0</v>
      </c>
      <c r="L115" s="265">
        <f t="shared" si="414"/>
        <v>0</v>
      </c>
      <c r="M115" s="302">
        <f t="shared" ref="M115:N115" si="559">M14*M24</f>
        <v>0</v>
      </c>
      <c r="N115" s="303">
        <f t="shared" si="559"/>
        <v>0</v>
      </c>
      <c r="O115" s="265">
        <f t="shared" si="416"/>
        <v>0</v>
      </c>
      <c r="P115" s="302">
        <f t="shared" ref="P115:Q115" si="560">P14*P24</f>
        <v>0</v>
      </c>
      <c r="Q115" s="303">
        <f t="shared" si="560"/>
        <v>0</v>
      </c>
      <c r="R115" s="265">
        <f t="shared" si="382"/>
        <v>0</v>
      </c>
      <c r="S115" s="302">
        <f t="shared" ref="S115:T115" si="561">S14*S24</f>
        <v>0</v>
      </c>
      <c r="T115" s="303">
        <f t="shared" si="561"/>
        <v>0</v>
      </c>
      <c r="U115" s="265">
        <f t="shared" si="384"/>
        <v>0</v>
      </c>
      <c r="V115" s="302">
        <f t="shared" ref="V115:W115" si="562">V14*V24</f>
        <v>0</v>
      </c>
      <c r="W115" s="303">
        <f t="shared" si="562"/>
        <v>0</v>
      </c>
      <c r="X115" s="265">
        <f t="shared" si="386"/>
        <v>0</v>
      </c>
      <c r="Y115" s="302">
        <f t="shared" ref="Y115:Z115" si="563">Y14*Y24</f>
        <v>0</v>
      </c>
      <c r="Z115" s="303">
        <f t="shared" si="563"/>
        <v>0</v>
      </c>
      <c r="AA115" s="265">
        <f t="shared" si="421"/>
        <v>0</v>
      </c>
      <c r="AB115" s="302">
        <f t="shared" ref="AB115:AC115" si="564">AB14*AB24</f>
        <v>0</v>
      </c>
      <c r="AC115" s="303">
        <f t="shared" si="564"/>
        <v>0</v>
      </c>
      <c r="AD115" s="265">
        <f t="shared" si="423"/>
        <v>0</v>
      </c>
      <c r="AE115" s="302">
        <f t="shared" ref="AE115:AF115" si="565">AE14*AE24</f>
        <v>0</v>
      </c>
      <c r="AF115" s="303">
        <f t="shared" si="565"/>
        <v>0</v>
      </c>
      <c r="AG115" s="265">
        <f t="shared" si="390"/>
        <v>0</v>
      </c>
      <c r="AH115" s="302">
        <f t="shared" ref="AH115:AI115" si="566">AH14*AH24</f>
        <v>0</v>
      </c>
      <c r="AI115" s="303">
        <f t="shared" si="566"/>
        <v>0</v>
      </c>
      <c r="AJ115" s="265">
        <f t="shared" si="392"/>
        <v>0</v>
      </c>
      <c r="AK115" s="302">
        <f t="shared" ref="AK115:AL115" si="567">AK14*AK24</f>
        <v>0</v>
      </c>
      <c r="AL115" s="303">
        <f t="shared" si="567"/>
        <v>0</v>
      </c>
      <c r="AM115" s="265">
        <f t="shared" si="394"/>
        <v>0</v>
      </c>
      <c r="AN115" s="302">
        <f t="shared" ref="AN115:AO115" si="568">AN14*AN24</f>
        <v>0</v>
      </c>
      <c r="AO115" s="303">
        <f t="shared" si="568"/>
        <v>0</v>
      </c>
      <c r="AP115" s="265">
        <f t="shared" si="428"/>
        <v>0</v>
      </c>
      <c r="AQ115" s="302">
        <f t="shared" ref="AQ115:AR115" si="569">AQ14*AQ24</f>
        <v>0</v>
      </c>
      <c r="AR115" s="303">
        <f t="shared" si="569"/>
        <v>0</v>
      </c>
      <c r="AS115" s="265">
        <f t="shared" si="430"/>
        <v>0</v>
      </c>
      <c r="AT115" s="302">
        <f t="shared" ref="AT115:AU115" si="570">AT14*AT24</f>
        <v>0</v>
      </c>
      <c r="AU115" s="303">
        <f t="shared" si="570"/>
        <v>0</v>
      </c>
      <c r="AV115" s="265">
        <f t="shared" si="398"/>
        <v>0</v>
      </c>
      <c r="AW115" s="302">
        <f t="shared" ref="AW115:AX115" si="571">AW14*AW24</f>
        <v>0</v>
      </c>
      <c r="AX115" s="303">
        <f t="shared" si="571"/>
        <v>0</v>
      </c>
      <c r="AY115" s="265">
        <f t="shared" si="400"/>
        <v>0</v>
      </c>
      <c r="AZ115" s="302">
        <f t="shared" ref="AZ115:BA115" si="572">AZ14*AZ24</f>
        <v>0</v>
      </c>
      <c r="BA115" s="303">
        <f t="shared" si="572"/>
        <v>0</v>
      </c>
      <c r="BB115" s="265">
        <f t="shared" si="402"/>
        <v>0</v>
      </c>
      <c r="BC115" s="302">
        <f t="shared" ref="BC115:BD115" si="573">BC14*BC24</f>
        <v>0</v>
      </c>
      <c r="BD115" s="303">
        <f t="shared" si="573"/>
        <v>0</v>
      </c>
      <c r="BE115" s="265">
        <f t="shared" si="435"/>
        <v>0</v>
      </c>
      <c r="BF115" s="302">
        <f t="shared" ref="BF115:BG115" si="574">BF14*BF24</f>
        <v>0</v>
      </c>
      <c r="BG115" s="303">
        <f t="shared" si="574"/>
        <v>0</v>
      </c>
      <c r="BH115" s="265">
        <f t="shared" si="437"/>
        <v>0</v>
      </c>
      <c r="BI115" s="302">
        <f t="shared" si="405"/>
        <v>0</v>
      </c>
      <c r="BJ115" s="303">
        <f t="shared" si="405"/>
        <v>0</v>
      </c>
      <c r="BK115" s="265">
        <f t="shared" si="406"/>
        <v>0</v>
      </c>
      <c r="BL115" s="302">
        <f t="shared" si="407"/>
        <v>0</v>
      </c>
      <c r="BM115" s="303">
        <f t="shared" si="407"/>
        <v>0</v>
      </c>
      <c r="BN115" s="265">
        <f t="shared" si="408"/>
        <v>0</v>
      </c>
      <c r="BO115" s="302">
        <f t="shared" si="409"/>
        <v>0</v>
      </c>
      <c r="BP115" s="303">
        <f t="shared" si="409"/>
        <v>0</v>
      </c>
      <c r="BQ115" s="265">
        <f t="shared" si="410"/>
        <v>0</v>
      </c>
    </row>
    <row r="116" spans="1:70">
      <c r="A116" s="780" t="s">
        <v>224</v>
      </c>
      <c r="B116" s="782" t="s">
        <v>213</v>
      </c>
      <c r="C116" s="288" t="s">
        <v>164</v>
      </c>
      <c r="D116" s="289">
        <f t="shared" ref="D116:D131" si="575">SUM(G116,J116,M116,P116,S116,V116,Y116,AB116,AE116,AH116,AK116,AN116,AQ116,AT116,AW116,AZ116,AZ116,BC116,BF116,BI116,BL116,BO116)</f>
        <v>0</v>
      </c>
      <c r="E116" s="290">
        <f t="shared" si="159"/>
        <v>0</v>
      </c>
      <c r="F116" s="291">
        <f t="shared" ref="F116:F135" si="576">SUM(I116,L116,O116,R116,U116,X116,AA116,AD116,AG116,AJ116,AM116,AP116,AS116,AV116,AY116,BB116,BB116,BE116,BH116,BK116,BN116,BQ116)</f>
        <v>0</v>
      </c>
      <c r="G116" s="304">
        <f t="shared" ref="G116:H125" si="577">G5*G25</f>
        <v>0</v>
      </c>
      <c r="H116" s="305">
        <f t="shared" si="577"/>
        <v>0</v>
      </c>
      <c r="I116" s="255">
        <f>H116-G116</f>
        <v>0</v>
      </c>
      <c r="J116" s="304">
        <f t="shared" ref="J116:K116" si="578">J5*J25</f>
        <v>0</v>
      </c>
      <c r="K116" s="305">
        <f t="shared" si="578"/>
        <v>0</v>
      </c>
      <c r="L116" s="255">
        <f>K116-J116</f>
        <v>0</v>
      </c>
      <c r="M116" s="304">
        <f t="shared" ref="M116:N116" si="579">M5*M25</f>
        <v>0</v>
      </c>
      <c r="N116" s="305">
        <f t="shared" si="579"/>
        <v>0</v>
      </c>
      <c r="O116" s="255">
        <f>N116-M116</f>
        <v>0</v>
      </c>
      <c r="P116" s="304">
        <f t="shared" ref="P116:Q116" si="580">P5*P25</f>
        <v>0</v>
      </c>
      <c r="Q116" s="305">
        <f t="shared" si="580"/>
        <v>0</v>
      </c>
      <c r="R116" s="255">
        <f>Q116-P116</f>
        <v>0</v>
      </c>
      <c r="S116" s="304">
        <f t="shared" ref="S116:T116" si="581">S5*S25</f>
        <v>0</v>
      </c>
      <c r="T116" s="305">
        <f t="shared" si="581"/>
        <v>0</v>
      </c>
      <c r="U116" s="255">
        <f>T116-S116</f>
        <v>0</v>
      </c>
      <c r="V116" s="304">
        <f t="shared" ref="V116:W116" si="582">V5*V25</f>
        <v>0</v>
      </c>
      <c r="W116" s="305">
        <f t="shared" si="582"/>
        <v>0</v>
      </c>
      <c r="X116" s="255">
        <f>W116-V116</f>
        <v>0</v>
      </c>
      <c r="Y116" s="304">
        <f t="shared" ref="Y116:Z116" si="583">Y5*Y25</f>
        <v>0</v>
      </c>
      <c r="Z116" s="305">
        <f t="shared" si="583"/>
        <v>0</v>
      </c>
      <c r="AA116" s="255">
        <f>Z116-Y116</f>
        <v>0</v>
      </c>
      <c r="AB116" s="304">
        <f t="shared" ref="AB116:AC116" si="584">AB5*AB25</f>
        <v>0</v>
      </c>
      <c r="AC116" s="305">
        <f t="shared" si="584"/>
        <v>0</v>
      </c>
      <c r="AD116" s="255">
        <f>AC116-AB116</f>
        <v>0</v>
      </c>
      <c r="AE116" s="304">
        <f t="shared" ref="AE116:AF116" si="585">AE5*AE25</f>
        <v>0</v>
      </c>
      <c r="AF116" s="305">
        <f t="shared" si="585"/>
        <v>0</v>
      </c>
      <c r="AG116" s="255">
        <f>AF116-AE116</f>
        <v>0</v>
      </c>
      <c r="AH116" s="304">
        <f t="shared" ref="AH116:AI116" si="586">AH5*AH25</f>
        <v>0</v>
      </c>
      <c r="AI116" s="305">
        <f t="shared" si="586"/>
        <v>0</v>
      </c>
      <c r="AJ116" s="255">
        <f>AI116-AH116</f>
        <v>0</v>
      </c>
      <c r="AK116" s="304">
        <f t="shared" ref="AK116:AL116" si="587">AK5*AK25</f>
        <v>0</v>
      </c>
      <c r="AL116" s="305">
        <f t="shared" si="587"/>
        <v>0</v>
      </c>
      <c r="AM116" s="255">
        <f>AL116-AK116</f>
        <v>0</v>
      </c>
      <c r="AN116" s="304">
        <f t="shared" ref="AN116:AO116" si="588">AN5*AN25</f>
        <v>0</v>
      </c>
      <c r="AO116" s="305">
        <f t="shared" si="588"/>
        <v>0</v>
      </c>
      <c r="AP116" s="255">
        <f>AO116-AN116</f>
        <v>0</v>
      </c>
      <c r="AQ116" s="304">
        <f t="shared" ref="AQ116:AR116" si="589">AQ5*AQ25</f>
        <v>0</v>
      </c>
      <c r="AR116" s="305">
        <f t="shared" si="589"/>
        <v>0</v>
      </c>
      <c r="AS116" s="255">
        <f>AR116-AQ116</f>
        <v>0</v>
      </c>
      <c r="AT116" s="304">
        <f t="shared" ref="AT116:AU116" si="590">AT5*AT25</f>
        <v>0</v>
      </c>
      <c r="AU116" s="305">
        <f t="shared" si="590"/>
        <v>0</v>
      </c>
      <c r="AV116" s="255">
        <f>AU116-AT116</f>
        <v>0</v>
      </c>
      <c r="AW116" s="304">
        <f t="shared" ref="AW116:AX116" si="591">AW5*AW25</f>
        <v>0</v>
      </c>
      <c r="AX116" s="305">
        <f t="shared" si="591"/>
        <v>0</v>
      </c>
      <c r="AY116" s="255">
        <f>AX116-AW116</f>
        <v>0</v>
      </c>
      <c r="AZ116" s="304">
        <f t="shared" ref="AZ116:BA116" si="592">AZ5*AZ25</f>
        <v>0</v>
      </c>
      <c r="BA116" s="305">
        <f t="shared" si="592"/>
        <v>0</v>
      </c>
      <c r="BB116" s="255">
        <f>BA116-AZ116</f>
        <v>0</v>
      </c>
      <c r="BC116" s="304">
        <f t="shared" ref="BC116:BD116" si="593">BC5*BC25</f>
        <v>0</v>
      </c>
      <c r="BD116" s="305">
        <f t="shared" si="593"/>
        <v>0</v>
      </c>
      <c r="BE116" s="255">
        <f>BD116-BC116</f>
        <v>0</v>
      </c>
      <c r="BF116" s="304">
        <f t="shared" ref="BF116:BG116" si="594">BF5*BF25</f>
        <v>0</v>
      </c>
      <c r="BG116" s="305">
        <f t="shared" si="594"/>
        <v>0</v>
      </c>
      <c r="BH116" s="255">
        <f>BG116-BF116</f>
        <v>0</v>
      </c>
      <c r="BI116" s="304">
        <f t="shared" ref="BI116:BJ125" si="595">BI5*BI25</f>
        <v>0</v>
      </c>
      <c r="BJ116" s="305">
        <f t="shared" si="595"/>
        <v>0</v>
      </c>
      <c r="BK116" s="255">
        <f>BJ116-BI116</f>
        <v>0</v>
      </c>
      <c r="BL116" s="304">
        <f t="shared" ref="BL116:BM125" si="596">BL5*BL25</f>
        <v>0</v>
      </c>
      <c r="BM116" s="305">
        <f t="shared" si="596"/>
        <v>0</v>
      </c>
      <c r="BN116" s="255">
        <f>BM116-BL116</f>
        <v>0</v>
      </c>
      <c r="BO116" s="304">
        <f t="shared" ref="BO116:BP125" si="597">BO5*BO25</f>
        <v>0</v>
      </c>
      <c r="BP116" s="305">
        <f t="shared" si="597"/>
        <v>0</v>
      </c>
      <c r="BQ116" s="255">
        <f>BP116-BO116</f>
        <v>0</v>
      </c>
    </row>
    <row r="117" spans="1:70">
      <c r="A117" s="780"/>
      <c r="B117" s="782"/>
      <c r="C117" s="288" t="s">
        <v>165</v>
      </c>
      <c r="D117" s="289">
        <f t="shared" si="575"/>
        <v>0</v>
      </c>
      <c r="E117" s="290">
        <f t="shared" si="159"/>
        <v>0</v>
      </c>
      <c r="F117" s="291">
        <f t="shared" si="576"/>
        <v>0</v>
      </c>
      <c r="G117" s="296">
        <f t="shared" si="577"/>
        <v>0</v>
      </c>
      <c r="H117" s="297">
        <f t="shared" si="577"/>
        <v>0</v>
      </c>
      <c r="I117" s="260">
        <f t="shared" ref="I117:I125" si="598">H117-G117</f>
        <v>0</v>
      </c>
      <c r="J117" s="296">
        <f t="shared" ref="J117:K117" si="599">J6*J26</f>
        <v>0</v>
      </c>
      <c r="K117" s="297">
        <f t="shared" si="599"/>
        <v>0</v>
      </c>
      <c r="L117" s="260">
        <f t="shared" ref="L117:L125" si="600">K117-J117</f>
        <v>0</v>
      </c>
      <c r="M117" s="296">
        <f t="shared" ref="M117:N117" si="601">M6*M26</f>
        <v>0</v>
      </c>
      <c r="N117" s="297">
        <f t="shared" si="601"/>
        <v>0</v>
      </c>
      <c r="O117" s="260">
        <f t="shared" ref="O117:O125" si="602">N117-M117</f>
        <v>0</v>
      </c>
      <c r="P117" s="296">
        <f t="shared" ref="P117:Q117" si="603">P6*P26</f>
        <v>0</v>
      </c>
      <c r="Q117" s="297">
        <f t="shared" si="603"/>
        <v>0</v>
      </c>
      <c r="R117" s="260">
        <f t="shared" ref="R117:R125" si="604">Q117-P117</f>
        <v>0</v>
      </c>
      <c r="S117" s="296">
        <f t="shared" ref="S117:T117" si="605">S6*S26</f>
        <v>0</v>
      </c>
      <c r="T117" s="297">
        <f t="shared" si="605"/>
        <v>0</v>
      </c>
      <c r="U117" s="260">
        <f t="shared" ref="U117:U125" si="606">T117-S117</f>
        <v>0</v>
      </c>
      <c r="V117" s="296">
        <f t="shared" ref="V117:W117" si="607">V6*V26</f>
        <v>0</v>
      </c>
      <c r="W117" s="297">
        <f t="shared" si="607"/>
        <v>0</v>
      </c>
      <c r="X117" s="260">
        <f t="shared" ref="X117:X125" si="608">W117-V117</f>
        <v>0</v>
      </c>
      <c r="Y117" s="296">
        <f t="shared" ref="Y117:Z117" si="609">Y6*Y26</f>
        <v>0</v>
      </c>
      <c r="Z117" s="297">
        <f t="shared" si="609"/>
        <v>0</v>
      </c>
      <c r="AA117" s="260">
        <f t="shared" ref="AA117:AA125" si="610">Z117-Y117</f>
        <v>0</v>
      </c>
      <c r="AB117" s="296">
        <f t="shared" ref="AB117:AC117" si="611">AB6*AB26</f>
        <v>0</v>
      </c>
      <c r="AC117" s="297">
        <f t="shared" si="611"/>
        <v>0</v>
      </c>
      <c r="AD117" s="260">
        <f t="shared" ref="AD117:AD125" si="612">AC117-AB117</f>
        <v>0</v>
      </c>
      <c r="AE117" s="296">
        <f t="shared" ref="AE117:AF117" si="613">AE6*AE26</f>
        <v>0</v>
      </c>
      <c r="AF117" s="297">
        <f t="shared" si="613"/>
        <v>0</v>
      </c>
      <c r="AG117" s="260">
        <f t="shared" ref="AG117:AG125" si="614">AF117-AE117</f>
        <v>0</v>
      </c>
      <c r="AH117" s="296">
        <f t="shared" ref="AH117:AI117" si="615">AH6*AH26</f>
        <v>0</v>
      </c>
      <c r="AI117" s="297">
        <f t="shared" si="615"/>
        <v>0</v>
      </c>
      <c r="AJ117" s="260">
        <f t="shared" ref="AJ117:AJ125" si="616">AI117-AH117</f>
        <v>0</v>
      </c>
      <c r="AK117" s="296">
        <f t="shared" ref="AK117:AL117" si="617">AK6*AK26</f>
        <v>0</v>
      </c>
      <c r="AL117" s="297">
        <f t="shared" si="617"/>
        <v>0</v>
      </c>
      <c r="AM117" s="260">
        <f t="shared" ref="AM117:AM125" si="618">AL117-AK117</f>
        <v>0</v>
      </c>
      <c r="AN117" s="296">
        <f t="shared" ref="AN117:AO117" si="619">AN6*AN26</f>
        <v>0</v>
      </c>
      <c r="AO117" s="297">
        <f t="shared" si="619"/>
        <v>0</v>
      </c>
      <c r="AP117" s="260">
        <f t="shared" ref="AP117:AP125" si="620">AO117-AN117</f>
        <v>0</v>
      </c>
      <c r="AQ117" s="296">
        <f t="shared" ref="AQ117:AR117" si="621">AQ6*AQ26</f>
        <v>0</v>
      </c>
      <c r="AR117" s="297">
        <f t="shared" si="621"/>
        <v>0</v>
      </c>
      <c r="AS117" s="260">
        <f t="shared" ref="AS117:AS125" si="622">AR117-AQ117</f>
        <v>0</v>
      </c>
      <c r="AT117" s="296">
        <f t="shared" ref="AT117:AU117" si="623">AT6*AT26</f>
        <v>0</v>
      </c>
      <c r="AU117" s="297">
        <f t="shared" si="623"/>
        <v>0</v>
      </c>
      <c r="AV117" s="260">
        <f t="shared" ref="AV117:AV125" si="624">AU117-AT117</f>
        <v>0</v>
      </c>
      <c r="AW117" s="296">
        <f t="shared" ref="AW117:AX117" si="625">AW6*AW26</f>
        <v>0</v>
      </c>
      <c r="AX117" s="297">
        <f t="shared" si="625"/>
        <v>0</v>
      </c>
      <c r="AY117" s="260">
        <f t="shared" ref="AY117:AY125" si="626">AX117-AW117</f>
        <v>0</v>
      </c>
      <c r="AZ117" s="296">
        <f t="shared" ref="AZ117:BA117" si="627">AZ6*AZ26</f>
        <v>0</v>
      </c>
      <c r="BA117" s="297">
        <f t="shared" si="627"/>
        <v>0</v>
      </c>
      <c r="BB117" s="260">
        <f t="shared" ref="BB117:BB125" si="628">BA117-AZ117</f>
        <v>0</v>
      </c>
      <c r="BC117" s="296">
        <f t="shared" ref="BC117:BD117" si="629">BC6*BC26</f>
        <v>0</v>
      </c>
      <c r="BD117" s="297">
        <f t="shared" si="629"/>
        <v>0</v>
      </c>
      <c r="BE117" s="260">
        <f t="shared" ref="BE117:BE125" si="630">BD117-BC117</f>
        <v>0</v>
      </c>
      <c r="BF117" s="296">
        <f t="shared" ref="BF117:BG117" si="631">BF6*BF26</f>
        <v>0</v>
      </c>
      <c r="BG117" s="297">
        <f t="shared" si="631"/>
        <v>0</v>
      </c>
      <c r="BH117" s="260">
        <f t="shared" ref="BH117:BH125" si="632">BG117-BF117</f>
        <v>0</v>
      </c>
      <c r="BI117" s="296">
        <f t="shared" si="595"/>
        <v>0</v>
      </c>
      <c r="BJ117" s="297">
        <f t="shared" si="595"/>
        <v>0</v>
      </c>
      <c r="BK117" s="260">
        <f t="shared" ref="BK117:BK125" si="633">BJ117-BI117</f>
        <v>0</v>
      </c>
      <c r="BL117" s="296">
        <f t="shared" si="596"/>
        <v>0</v>
      </c>
      <c r="BM117" s="297">
        <f t="shared" si="596"/>
        <v>0</v>
      </c>
      <c r="BN117" s="260">
        <f t="shared" ref="BN117:BN125" si="634">BM117-BL117</f>
        <v>0</v>
      </c>
      <c r="BO117" s="296">
        <f t="shared" si="597"/>
        <v>0</v>
      </c>
      <c r="BP117" s="297">
        <f t="shared" si="597"/>
        <v>0</v>
      </c>
      <c r="BQ117" s="260">
        <f t="shared" ref="BQ117:BQ125" si="635">BP117-BO117</f>
        <v>0</v>
      </c>
    </row>
    <row r="118" spans="1:70">
      <c r="A118" s="780"/>
      <c r="B118" s="782"/>
      <c r="C118" s="288" t="s">
        <v>166</v>
      </c>
      <c r="D118" s="289">
        <f t="shared" si="575"/>
        <v>0</v>
      </c>
      <c r="E118" s="290">
        <f t="shared" si="159"/>
        <v>0</v>
      </c>
      <c r="F118" s="291">
        <f t="shared" si="576"/>
        <v>0</v>
      </c>
      <c r="G118" s="296">
        <f t="shared" si="577"/>
        <v>0</v>
      </c>
      <c r="H118" s="297">
        <f t="shared" si="577"/>
        <v>0</v>
      </c>
      <c r="I118" s="260">
        <f t="shared" si="598"/>
        <v>0</v>
      </c>
      <c r="J118" s="296">
        <f t="shared" ref="J118:K118" si="636">J7*J27</f>
        <v>0</v>
      </c>
      <c r="K118" s="297">
        <f t="shared" si="636"/>
        <v>0</v>
      </c>
      <c r="L118" s="260">
        <f t="shared" si="600"/>
        <v>0</v>
      </c>
      <c r="M118" s="296">
        <f t="shared" ref="M118:N118" si="637">M7*M27</f>
        <v>0</v>
      </c>
      <c r="N118" s="297">
        <f t="shared" si="637"/>
        <v>0</v>
      </c>
      <c r="O118" s="260">
        <f t="shared" si="602"/>
        <v>0</v>
      </c>
      <c r="P118" s="296">
        <f t="shared" ref="P118:Q118" si="638">P7*P27</f>
        <v>0</v>
      </c>
      <c r="Q118" s="297">
        <f t="shared" si="638"/>
        <v>0</v>
      </c>
      <c r="R118" s="260">
        <f t="shared" si="604"/>
        <v>0</v>
      </c>
      <c r="S118" s="296">
        <f t="shared" ref="S118:T118" si="639">S7*S27</f>
        <v>0</v>
      </c>
      <c r="T118" s="297">
        <f t="shared" si="639"/>
        <v>0</v>
      </c>
      <c r="U118" s="260">
        <f t="shared" si="606"/>
        <v>0</v>
      </c>
      <c r="V118" s="296">
        <f t="shared" ref="V118:W118" si="640">V7*V27</f>
        <v>0</v>
      </c>
      <c r="W118" s="297">
        <f t="shared" si="640"/>
        <v>0</v>
      </c>
      <c r="X118" s="260">
        <f t="shared" si="608"/>
        <v>0</v>
      </c>
      <c r="Y118" s="296">
        <f t="shared" ref="Y118:Z118" si="641">Y7*Y27</f>
        <v>0</v>
      </c>
      <c r="Z118" s="297">
        <f t="shared" si="641"/>
        <v>0</v>
      </c>
      <c r="AA118" s="260">
        <f t="shared" si="610"/>
        <v>0</v>
      </c>
      <c r="AB118" s="296">
        <f t="shared" ref="AB118:AC118" si="642">AB7*AB27</f>
        <v>0</v>
      </c>
      <c r="AC118" s="297">
        <f t="shared" si="642"/>
        <v>0</v>
      </c>
      <c r="AD118" s="260">
        <f t="shared" si="612"/>
        <v>0</v>
      </c>
      <c r="AE118" s="296">
        <f t="shared" ref="AE118:AF118" si="643">AE7*AE27</f>
        <v>0</v>
      </c>
      <c r="AF118" s="297">
        <f t="shared" si="643"/>
        <v>0</v>
      </c>
      <c r="AG118" s="260">
        <f t="shared" si="614"/>
        <v>0</v>
      </c>
      <c r="AH118" s="296">
        <f t="shared" ref="AH118:AI118" si="644">AH7*AH27</f>
        <v>0</v>
      </c>
      <c r="AI118" s="297">
        <f t="shared" si="644"/>
        <v>0</v>
      </c>
      <c r="AJ118" s="260">
        <f t="shared" si="616"/>
        <v>0</v>
      </c>
      <c r="AK118" s="296">
        <f t="shared" ref="AK118:AL118" si="645">AK7*AK27</f>
        <v>0</v>
      </c>
      <c r="AL118" s="297">
        <f t="shared" si="645"/>
        <v>0</v>
      </c>
      <c r="AM118" s="260">
        <f t="shared" si="618"/>
        <v>0</v>
      </c>
      <c r="AN118" s="296">
        <f t="shared" ref="AN118:AO118" si="646">AN7*AN27</f>
        <v>0</v>
      </c>
      <c r="AO118" s="297">
        <f t="shared" si="646"/>
        <v>0</v>
      </c>
      <c r="AP118" s="260">
        <f t="shared" si="620"/>
        <v>0</v>
      </c>
      <c r="AQ118" s="296">
        <f t="shared" ref="AQ118:AR118" si="647">AQ7*AQ27</f>
        <v>0</v>
      </c>
      <c r="AR118" s="297">
        <f t="shared" si="647"/>
        <v>0</v>
      </c>
      <c r="AS118" s="260">
        <f t="shared" si="622"/>
        <v>0</v>
      </c>
      <c r="AT118" s="296">
        <f t="shared" ref="AT118:AU118" si="648">AT7*AT27</f>
        <v>0</v>
      </c>
      <c r="AU118" s="297">
        <f t="shared" si="648"/>
        <v>0</v>
      </c>
      <c r="AV118" s="260">
        <f t="shared" si="624"/>
        <v>0</v>
      </c>
      <c r="AW118" s="296">
        <f t="shared" ref="AW118:AX118" si="649">AW7*AW27</f>
        <v>0</v>
      </c>
      <c r="AX118" s="297">
        <f t="shared" si="649"/>
        <v>0</v>
      </c>
      <c r="AY118" s="260">
        <f t="shared" si="626"/>
        <v>0</v>
      </c>
      <c r="AZ118" s="296">
        <f t="shared" ref="AZ118:BA118" si="650">AZ7*AZ27</f>
        <v>0</v>
      </c>
      <c r="BA118" s="297">
        <f t="shared" si="650"/>
        <v>0</v>
      </c>
      <c r="BB118" s="260">
        <f t="shared" si="628"/>
        <v>0</v>
      </c>
      <c r="BC118" s="296">
        <f t="shared" ref="BC118:BD118" si="651">BC7*BC27</f>
        <v>0</v>
      </c>
      <c r="BD118" s="297">
        <f t="shared" si="651"/>
        <v>0</v>
      </c>
      <c r="BE118" s="260">
        <f t="shared" si="630"/>
        <v>0</v>
      </c>
      <c r="BF118" s="296">
        <f t="shared" ref="BF118:BG118" si="652">BF7*BF27</f>
        <v>0</v>
      </c>
      <c r="BG118" s="297">
        <f t="shared" si="652"/>
        <v>0</v>
      </c>
      <c r="BH118" s="260">
        <f t="shared" si="632"/>
        <v>0</v>
      </c>
      <c r="BI118" s="296">
        <f t="shared" si="595"/>
        <v>0</v>
      </c>
      <c r="BJ118" s="297">
        <f t="shared" si="595"/>
        <v>0</v>
      </c>
      <c r="BK118" s="260">
        <f t="shared" si="633"/>
        <v>0</v>
      </c>
      <c r="BL118" s="296">
        <f t="shared" si="596"/>
        <v>0</v>
      </c>
      <c r="BM118" s="297">
        <f t="shared" si="596"/>
        <v>0</v>
      </c>
      <c r="BN118" s="260">
        <f t="shared" si="634"/>
        <v>0</v>
      </c>
      <c r="BO118" s="296">
        <f t="shared" si="597"/>
        <v>0</v>
      </c>
      <c r="BP118" s="297">
        <f t="shared" si="597"/>
        <v>0</v>
      </c>
      <c r="BQ118" s="260">
        <f t="shared" si="635"/>
        <v>0</v>
      </c>
    </row>
    <row r="119" spans="1:70">
      <c r="A119" s="780"/>
      <c r="B119" s="782"/>
      <c r="C119" s="288" t="s">
        <v>167</v>
      </c>
      <c r="D119" s="289">
        <f t="shared" si="575"/>
        <v>0</v>
      </c>
      <c r="E119" s="290">
        <f t="shared" si="159"/>
        <v>0</v>
      </c>
      <c r="F119" s="291">
        <f t="shared" si="576"/>
        <v>0</v>
      </c>
      <c r="G119" s="296">
        <f t="shared" si="577"/>
        <v>0</v>
      </c>
      <c r="H119" s="297">
        <f t="shared" si="577"/>
        <v>0</v>
      </c>
      <c r="I119" s="260">
        <f t="shared" si="598"/>
        <v>0</v>
      </c>
      <c r="J119" s="296">
        <f t="shared" ref="J119:K119" si="653">J8*J28</f>
        <v>0</v>
      </c>
      <c r="K119" s="297">
        <f t="shared" si="653"/>
        <v>0</v>
      </c>
      <c r="L119" s="260">
        <f t="shared" si="600"/>
        <v>0</v>
      </c>
      <c r="M119" s="296">
        <f t="shared" ref="M119:N119" si="654">M8*M28</f>
        <v>0</v>
      </c>
      <c r="N119" s="297">
        <f t="shared" si="654"/>
        <v>0</v>
      </c>
      <c r="O119" s="260">
        <f t="shared" si="602"/>
        <v>0</v>
      </c>
      <c r="P119" s="296">
        <f t="shared" ref="P119:Q119" si="655">P8*P28</f>
        <v>0</v>
      </c>
      <c r="Q119" s="297">
        <f t="shared" si="655"/>
        <v>0</v>
      </c>
      <c r="R119" s="260">
        <f t="shared" si="604"/>
        <v>0</v>
      </c>
      <c r="S119" s="296">
        <f t="shared" ref="S119:T119" si="656">S8*S28</f>
        <v>0</v>
      </c>
      <c r="T119" s="297">
        <f t="shared" si="656"/>
        <v>0</v>
      </c>
      <c r="U119" s="260">
        <f t="shared" si="606"/>
        <v>0</v>
      </c>
      <c r="V119" s="296">
        <f t="shared" ref="V119:W119" si="657">V8*V28</f>
        <v>0</v>
      </c>
      <c r="W119" s="297">
        <f t="shared" si="657"/>
        <v>0</v>
      </c>
      <c r="X119" s="260">
        <f t="shared" si="608"/>
        <v>0</v>
      </c>
      <c r="Y119" s="296">
        <f t="shared" ref="Y119:Z119" si="658">Y8*Y28</f>
        <v>0</v>
      </c>
      <c r="Z119" s="297">
        <f t="shared" si="658"/>
        <v>0</v>
      </c>
      <c r="AA119" s="260">
        <f t="shared" si="610"/>
        <v>0</v>
      </c>
      <c r="AB119" s="296">
        <f t="shared" ref="AB119:AC119" si="659">AB8*AB28</f>
        <v>0</v>
      </c>
      <c r="AC119" s="297">
        <f t="shared" si="659"/>
        <v>0</v>
      </c>
      <c r="AD119" s="260">
        <f t="shared" si="612"/>
        <v>0</v>
      </c>
      <c r="AE119" s="296">
        <f t="shared" ref="AE119:AF119" si="660">AE8*AE28</f>
        <v>0</v>
      </c>
      <c r="AF119" s="297">
        <f t="shared" si="660"/>
        <v>0</v>
      </c>
      <c r="AG119" s="260">
        <f t="shared" si="614"/>
        <v>0</v>
      </c>
      <c r="AH119" s="296">
        <f t="shared" ref="AH119:AI119" si="661">AH8*AH28</f>
        <v>0</v>
      </c>
      <c r="AI119" s="297">
        <f t="shared" si="661"/>
        <v>0</v>
      </c>
      <c r="AJ119" s="260">
        <f t="shared" si="616"/>
        <v>0</v>
      </c>
      <c r="AK119" s="296">
        <f t="shared" ref="AK119:AL119" si="662">AK8*AK28</f>
        <v>0</v>
      </c>
      <c r="AL119" s="297">
        <f t="shared" si="662"/>
        <v>0</v>
      </c>
      <c r="AM119" s="260">
        <f t="shared" si="618"/>
        <v>0</v>
      </c>
      <c r="AN119" s="296">
        <f t="shared" ref="AN119:AO119" si="663">AN8*AN28</f>
        <v>0</v>
      </c>
      <c r="AO119" s="297">
        <f t="shared" si="663"/>
        <v>0</v>
      </c>
      <c r="AP119" s="260">
        <f t="shared" si="620"/>
        <v>0</v>
      </c>
      <c r="AQ119" s="296">
        <f t="shared" ref="AQ119:AR119" si="664">AQ8*AQ28</f>
        <v>0</v>
      </c>
      <c r="AR119" s="297">
        <f t="shared" si="664"/>
        <v>0</v>
      </c>
      <c r="AS119" s="260">
        <f t="shared" si="622"/>
        <v>0</v>
      </c>
      <c r="AT119" s="296">
        <f t="shared" ref="AT119:AU119" si="665">AT8*AT28</f>
        <v>0</v>
      </c>
      <c r="AU119" s="297">
        <f t="shared" si="665"/>
        <v>0</v>
      </c>
      <c r="AV119" s="260">
        <f t="shared" si="624"/>
        <v>0</v>
      </c>
      <c r="AW119" s="296">
        <f t="shared" ref="AW119:AX119" si="666">AW8*AW28</f>
        <v>0</v>
      </c>
      <c r="AX119" s="297">
        <f t="shared" si="666"/>
        <v>0</v>
      </c>
      <c r="AY119" s="260">
        <f t="shared" si="626"/>
        <v>0</v>
      </c>
      <c r="AZ119" s="296">
        <f t="shared" ref="AZ119:BA119" si="667">AZ8*AZ28</f>
        <v>0</v>
      </c>
      <c r="BA119" s="297">
        <f t="shared" si="667"/>
        <v>0</v>
      </c>
      <c r="BB119" s="260">
        <f t="shared" si="628"/>
        <v>0</v>
      </c>
      <c r="BC119" s="296">
        <f t="shared" ref="BC119:BD119" si="668">BC8*BC28</f>
        <v>0</v>
      </c>
      <c r="BD119" s="297">
        <f t="shared" si="668"/>
        <v>0</v>
      </c>
      <c r="BE119" s="260">
        <f t="shared" si="630"/>
        <v>0</v>
      </c>
      <c r="BF119" s="296">
        <f t="shared" ref="BF119:BG119" si="669">BF8*BF28</f>
        <v>0</v>
      </c>
      <c r="BG119" s="297">
        <f t="shared" si="669"/>
        <v>0</v>
      </c>
      <c r="BH119" s="260">
        <f t="shared" si="632"/>
        <v>0</v>
      </c>
      <c r="BI119" s="296">
        <f t="shared" si="595"/>
        <v>0</v>
      </c>
      <c r="BJ119" s="297">
        <f t="shared" si="595"/>
        <v>0</v>
      </c>
      <c r="BK119" s="260">
        <f t="shared" si="633"/>
        <v>0</v>
      </c>
      <c r="BL119" s="296">
        <f t="shared" si="596"/>
        <v>0</v>
      </c>
      <c r="BM119" s="297">
        <f t="shared" si="596"/>
        <v>0</v>
      </c>
      <c r="BN119" s="260">
        <f t="shared" si="634"/>
        <v>0</v>
      </c>
      <c r="BO119" s="296">
        <f t="shared" si="597"/>
        <v>0</v>
      </c>
      <c r="BP119" s="297">
        <f t="shared" si="597"/>
        <v>0</v>
      </c>
      <c r="BQ119" s="260">
        <f t="shared" si="635"/>
        <v>0</v>
      </c>
    </row>
    <row r="120" spans="1:70">
      <c r="A120" s="780"/>
      <c r="B120" s="782"/>
      <c r="C120" s="288" t="s">
        <v>168</v>
      </c>
      <c r="D120" s="289">
        <f t="shared" si="575"/>
        <v>0</v>
      </c>
      <c r="E120" s="290">
        <f t="shared" si="159"/>
        <v>0</v>
      </c>
      <c r="F120" s="291">
        <f t="shared" si="576"/>
        <v>0</v>
      </c>
      <c r="G120" s="296">
        <f t="shared" si="577"/>
        <v>0</v>
      </c>
      <c r="H120" s="297">
        <f t="shared" si="577"/>
        <v>0</v>
      </c>
      <c r="I120" s="260">
        <f t="shared" si="598"/>
        <v>0</v>
      </c>
      <c r="J120" s="296">
        <f t="shared" ref="J120:K120" si="670">J9*J29</f>
        <v>0</v>
      </c>
      <c r="K120" s="297">
        <f t="shared" si="670"/>
        <v>0</v>
      </c>
      <c r="L120" s="260">
        <f t="shared" si="600"/>
        <v>0</v>
      </c>
      <c r="M120" s="296">
        <f t="shared" ref="M120:N120" si="671">M9*M29</f>
        <v>0</v>
      </c>
      <c r="N120" s="297">
        <f t="shared" si="671"/>
        <v>0</v>
      </c>
      <c r="O120" s="260">
        <f t="shared" si="602"/>
        <v>0</v>
      </c>
      <c r="P120" s="296">
        <f t="shared" ref="P120:Q120" si="672">P9*P29</f>
        <v>0</v>
      </c>
      <c r="Q120" s="297">
        <f t="shared" si="672"/>
        <v>0</v>
      </c>
      <c r="R120" s="260">
        <f t="shared" si="604"/>
        <v>0</v>
      </c>
      <c r="S120" s="296">
        <f t="shared" ref="S120:T120" si="673">S9*S29</f>
        <v>0</v>
      </c>
      <c r="T120" s="297">
        <f t="shared" si="673"/>
        <v>0</v>
      </c>
      <c r="U120" s="260">
        <f t="shared" si="606"/>
        <v>0</v>
      </c>
      <c r="V120" s="296">
        <f t="shared" ref="V120:W120" si="674">V9*V29</f>
        <v>0</v>
      </c>
      <c r="W120" s="297">
        <f t="shared" si="674"/>
        <v>0</v>
      </c>
      <c r="X120" s="260">
        <f t="shared" si="608"/>
        <v>0</v>
      </c>
      <c r="Y120" s="296">
        <f t="shared" ref="Y120:Z120" si="675">Y9*Y29</f>
        <v>0</v>
      </c>
      <c r="Z120" s="297">
        <f t="shared" si="675"/>
        <v>0</v>
      </c>
      <c r="AA120" s="260">
        <f t="shared" si="610"/>
        <v>0</v>
      </c>
      <c r="AB120" s="296">
        <f t="shared" ref="AB120:AC120" si="676">AB9*AB29</f>
        <v>0</v>
      </c>
      <c r="AC120" s="297">
        <f t="shared" si="676"/>
        <v>0</v>
      </c>
      <c r="AD120" s="260">
        <f t="shared" si="612"/>
        <v>0</v>
      </c>
      <c r="AE120" s="296">
        <f t="shared" ref="AE120:AF120" si="677">AE9*AE29</f>
        <v>0</v>
      </c>
      <c r="AF120" s="297">
        <f t="shared" si="677"/>
        <v>0</v>
      </c>
      <c r="AG120" s="260">
        <f t="shared" si="614"/>
        <v>0</v>
      </c>
      <c r="AH120" s="296">
        <f t="shared" ref="AH120:AI120" si="678">AH9*AH29</f>
        <v>0</v>
      </c>
      <c r="AI120" s="297">
        <f t="shared" si="678"/>
        <v>0</v>
      </c>
      <c r="AJ120" s="260">
        <f t="shared" si="616"/>
        <v>0</v>
      </c>
      <c r="AK120" s="296">
        <f t="shared" ref="AK120:AL120" si="679">AK9*AK29</f>
        <v>0</v>
      </c>
      <c r="AL120" s="297">
        <f t="shared" si="679"/>
        <v>0</v>
      </c>
      <c r="AM120" s="260">
        <f t="shared" si="618"/>
        <v>0</v>
      </c>
      <c r="AN120" s="296">
        <f t="shared" ref="AN120:AO120" si="680">AN9*AN29</f>
        <v>0</v>
      </c>
      <c r="AO120" s="297">
        <f t="shared" si="680"/>
        <v>0</v>
      </c>
      <c r="AP120" s="260">
        <f t="shared" si="620"/>
        <v>0</v>
      </c>
      <c r="AQ120" s="296">
        <f t="shared" ref="AQ120:AR120" si="681">AQ9*AQ29</f>
        <v>0</v>
      </c>
      <c r="AR120" s="297">
        <f t="shared" si="681"/>
        <v>0</v>
      </c>
      <c r="AS120" s="260">
        <f t="shared" si="622"/>
        <v>0</v>
      </c>
      <c r="AT120" s="296">
        <f t="shared" ref="AT120:AU120" si="682">AT9*AT29</f>
        <v>0</v>
      </c>
      <c r="AU120" s="297">
        <f t="shared" si="682"/>
        <v>0</v>
      </c>
      <c r="AV120" s="260">
        <f t="shared" si="624"/>
        <v>0</v>
      </c>
      <c r="AW120" s="296">
        <f t="shared" ref="AW120:AX120" si="683">AW9*AW29</f>
        <v>0</v>
      </c>
      <c r="AX120" s="297">
        <f t="shared" si="683"/>
        <v>0</v>
      </c>
      <c r="AY120" s="260">
        <f t="shared" si="626"/>
        <v>0</v>
      </c>
      <c r="AZ120" s="296">
        <f t="shared" ref="AZ120:BA120" si="684">AZ9*AZ29</f>
        <v>0</v>
      </c>
      <c r="BA120" s="297">
        <f t="shared" si="684"/>
        <v>0</v>
      </c>
      <c r="BB120" s="260">
        <f t="shared" si="628"/>
        <v>0</v>
      </c>
      <c r="BC120" s="296">
        <f t="shared" ref="BC120:BD120" si="685">BC9*BC29</f>
        <v>0</v>
      </c>
      <c r="BD120" s="297">
        <f t="shared" si="685"/>
        <v>0</v>
      </c>
      <c r="BE120" s="260">
        <f t="shared" si="630"/>
        <v>0</v>
      </c>
      <c r="BF120" s="296">
        <f t="shared" ref="BF120:BG120" si="686">BF9*BF29</f>
        <v>0</v>
      </c>
      <c r="BG120" s="297">
        <f t="shared" si="686"/>
        <v>0</v>
      </c>
      <c r="BH120" s="260">
        <f t="shared" si="632"/>
        <v>0</v>
      </c>
      <c r="BI120" s="296">
        <f t="shared" si="595"/>
        <v>0</v>
      </c>
      <c r="BJ120" s="297">
        <f t="shared" si="595"/>
        <v>0</v>
      </c>
      <c r="BK120" s="260">
        <f t="shared" si="633"/>
        <v>0</v>
      </c>
      <c r="BL120" s="296">
        <f t="shared" si="596"/>
        <v>0</v>
      </c>
      <c r="BM120" s="297">
        <f t="shared" si="596"/>
        <v>0</v>
      </c>
      <c r="BN120" s="260">
        <f t="shared" si="634"/>
        <v>0</v>
      </c>
      <c r="BO120" s="296">
        <f t="shared" si="597"/>
        <v>0</v>
      </c>
      <c r="BP120" s="297">
        <f t="shared" si="597"/>
        <v>0</v>
      </c>
      <c r="BQ120" s="260">
        <f t="shared" si="635"/>
        <v>0</v>
      </c>
    </row>
    <row r="121" spans="1:70">
      <c r="A121" s="780"/>
      <c r="B121" s="782"/>
      <c r="C121" s="288" t="s">
        <v>169</v>
      </c>
      <c r="D121" s="289">
        <f t="shared" si="575"/>
        <v>0</v>
      </c>
      <c r="E121" s="290">
        <f t="shared" si="159"/>
        <v>0</v>
      </c>
      <c r="F121" s="291">
        <f t="shared" si="576"/>
        <v>0</v>
      </c>
      <c r="G121" s="296">
        <f t="shared" si="577"/>
        <v>0</v>
      </c>
      <c r="H121" s="297">
        <f t="shared" si="577"/>
        <v>0</v>
      </c>
      <c r="I121" s="260">
        <f t="shared" si="598"/>
        <v>0</v>
      </c>
      <c r="J121" s="296">
        <f t="shared" ref="J121:K121" si="687">J10*J30</f>
        <v>0</v>
      </c>
      <c r="K121" s="297">
        <f t="shared" si="687"/>
        <v>0</v>
      </c>
      <c r="L121" s="260">
        <f t="shared" si="600"/>
        <v>0</v>
      </c>
      <c r="M121" s="296">
        <f t="shared" ref="M121:N121" si="688">M10*M30</f>
        <v>0</v>
      </c>
      <c r="N121" s="297">
        <f t="shared" si="688"/>
        <v>0</v>
      </c>
      <c r="O121" s="260">
        <f t="shared" si="602"/>
        <v>0</v>
      </c>
      <c r="P121" s="296">
        <f t="shared" ref="P121:Q121" si="689">P10*P30</f>
        <v>0</v>
      </c>
      <c r="Q121" s="297">
        <f t="shared" si="689"/>
        <v>0</v>
      </c>
      <c r="R121" s="260">
        <f t="shared" si="604"/>
        <v>0</v>
      </c>
      <c r="S121" s="296">
        <f t="shared" ref="S121:T121" si="690">S10*S30</f>
        <v>0</v>
      </c>
      <c r="T121" s="297">
        <f t="shared" si="690"/>
        <v>0</v>
      </c>
      <c r="U121" s="260">
        <f t="shared" si="606"/>
        <v>0</v>
      </c>
      <c r="V121" s="296">
        <f t="shared" ref="V121:W121" si="691">V10*V30</f>
        <v>0</v>
      </c>
      <c r="W121" s="297">
        <f t="shared" si="691"/>
        <v>0</v>
      </c>
      <c r="X121" s="260">
        <f t="shared" si="608"/>
        <v>0</v>
      </c>
      <c r="Y121" s="296">
        <f t="shared" ref="Y121:Z121" si="692">Y10*Y30</f>
        <v>0</v>
      </c>
      <c r="Z121" s="297">
        <f t="shared" si="692"/>
        <v>0</v>
      </c>
      <c r="AA121" s="260">
        <f t="shared" si="610"/>
        <v>0</v>
      </c>
      <c r="AB121" s="296">
        <f t="shared" ref="AB121:AC121" si="693">AB10*AB30</f>
        <v>0</v>
      </c>
      <c r="AC121" s="297">
        <f t="shared" si="693"/>
        <v>0</v>
      </c>
      <c r="AD121" s="260">
        <f t="shared" si="612"/>
        <v>0</v>
      </c>
      <c r="AE121" s="296">
        <f t="shared" ref="AE121:AF121" si="694">AE10*AE30</f>
        <v>0</v>
      </c>
      <c r="AF121" s="297">
        <f t="shared" si="694"/>
        <v>0</v>
      </c>
      <c r="AG121" s="260">
        <f t="shared" si="614"/>
        <v>0</v>
      </c>
      <c r="AH121" s="296">
        <f t="shared" ref="AH121:AI121" si="695">AH10*AH30</f>
        <v>0</v>
      </c>
      <c r="AI121" s="297">
        <f t="shared" si="695"/>
        <v>0</v>
      </c>
      <c r="AJ121" s="260">
        <f t="shared" si="616"/>
        <v>0</v>
      </c>
      <c r="AK121" s="296">
        <f t="shared" ref="AK121:AL121" si="696">AK10*AK30</f>
        <v>0</v>
      </c>
      <c r="AL121" s="297">
        <f t="shared" si="696"/>
        <v>0</v>
      </c>
      <c r="AM121" s="260">
        <f t="shared" si="618"/>
        <v>0</v>
      </c>
      <c r="AN121" s="296">
        <f t="shared" ref="AN121:AO121" si="697">AN10*AN30</f>
        <v>0</v>
      </c>
      <c r="AO121" s="297">
        <f t="shared" si="697"/>
        <v>0</v>
      </c>
      <c r="AP121" s="260">
        <f t="shared" si="620"/>
        <v>0</v>
      </c>
      <c r="AQ121" s="296">
        <f t="shared" ref="AQ121:AR121" si="698">AQ10*AQ30</f>
        <v>0</v>
      </c>
      <c r="AR121" s="297">
        <f t="shared" si="698"/>
        <v>0</v>
      </c>
      <c r="AS121" s="260">
        <f t="shared" si="622"/>
        <v>0</v>
      </c>
      <c r="AT121" s="296">
        <f t="shared" ref="AT121:AU121" si="699">AT10*AT30</f>
        <v>0</v>
      </c>
      <c r="AU121" s="297">
        <f t="shared" si="699"/>
        <v>0</v>
      </c>
      <c r="AV121" s="260">
        <f t="shared" si="624"/>
        <v>0</v>
      </c>
      <c r="AW121" s="296">
        <f t="shared" ref="AW121:AX121" si="700">AW10*AW30</f>
        <v>0</v>
      </c>
      <c r="AX121" s="297">
        <f t="shared" si="700"/>
        <v>0</v>
      </c>
      <c r="AY121" s="260">
        <f t="shared" si="626"/>
        <v>0</v>
      </c>
      <c r="AZ121" s="296">
        <f t="shared" ref="AZ121:BA121" si="701">AZ10*AZ30</f>
        <v>0</v>
      </c>
      <c r="BA121" s="297">
        <f t="shared" si="701"/>
        <v>0</v>
      </c>
      <c r="BB121" s="260">
        <f t="shared" si="628"/>
        <v>0</v>
      </c>
      <c r="BC121" s="296">
        <f t="shared" ref="BC121:BD121" si="702">BC10*BC30</f>
        <v>0</v>
      </c>
      <c r="BD121" s="297">
        <f t="shared" si="702"/>
        <v>0</v>
      </c>
      <c r="BE121" s="260">
        <f t="shared" si="630"/>
        <v>0</v>
      </c>
      <c r="BF121" s="296">
        <f t="shared" ref="BF121:BG121" si="703">BF10*BF30</f>
        <v>0</v>
      </c>
      <c r="BG121" s="297">
        <f t="shared" si="703"/>
        <v>0</v>
      </c>
      <c r="BH121" s="260">
        <f t="shared" si="632"/>
        <v>0</v>
      </c>
      <c r="BI121" s="296">
        <f t="shared" si="595"/>
        <v>0</v>
      </c>
      <c r="BJ121" s="297">
        <f t="shared" si="595"/>
        <v>0</v>
      </c>
      <c r="BK121" s="260">
        <f t="shared" si="633"/>
        <v>0</v>
      </c>
      <c r="BL121" s="296">
        <f t="shared" si="596"/>
        <v>0</v>
      </c>
      <c r="BM121" s="297">
        <f t="shared" si="596"/>
        <v>0</v>
      </c>
      <c r="BN121" s="260">
        <f t="shared" si="634"/>
        <v>0</v>
      </c>
      <c r="BO121" s="296">
        <f t="shared" si="597"/>
        <v>0</v>
      </c>
      <c r="BP121" s="297">
        <f t="shared" si="597"/>
        <v>0</v>
      </c>
      <c r="BQ121" s="260">
        <f t="shared" si="635"/>
        <v>0</v>
      </c>
    </row>
    <row r="122" spans="1:70">
      <c r="A122" s="780"/>
      <c r="B122" s="782"/>
      <c r="C122" s="288" t="s">
        <v>170</v>
      </c>
      <c r="D122" s="289">
        <f t="shared" si="575"/>
        <v>0</v>
      </c>
      <c r="E122" s="290">
        <f t="shared" si="159"/>
        <v>0</v>
      </c>
      <c r="F122" s="291">
        <f t="shared" si="576"/>
        <v>0</v>
      </c>
      <c r="G122" s="296">
        <f t="shared" si="577"/>
        <v>0</v>
      </c>
      <c r="H122" s="297">
        <f t="shared" si="577"/>
        <v>0</v>
      </c>
      <c r="I122" s="260">
        <f t="shared" si="598"/>
        <v>0</v>
      </c>
      <c r="J122" s="296">
        <f t="shared" ref="J122:K122" si="704">J11*J31</f>
        <v>0</v>
      </c>
      <c r="K122" s="297">
        <f t="shared" si="704"/>
        <v>0</v>
      </c>
      <c r="L122" s="260">
        <f t="shared" si="600"/>
        <v>0</v>
      </c>
      <c r="M122" s="296">
        <f t="shared" ref="M122:N122" si="705">M11*M31</f>
        <v>0</v>
      </c>
      <c r="N122" s="297">
        <f t="shared" si="705"/>
        <v>0</v>
      </c>
      <c r="O122" s="260">
        <f t="shared" si="602"/>
        <v>0</v>
      </c>
      <c r="P122" s="296">
        <f t="shared" ref="P122:Q122" si="706">P11*P31</f>
        <v>0</v>
      </c>
      <c r="Q122" s="297">
        <f t="shared" si="706"/>
        <v>0</v>
      </c>
      <c r="R122" s="260">
        <f t="shared" si="604"/>
        <v>0</v>
      </c>
      <c r="S122" s="296">
        <f t="shared" ref="S122:T122" si="707">S11*S31</f>
        <v>0</v>
      </c>
      <c r="T122" s="297">
        <f t="shared" si="707"/>
        <v>0</v>
      </c>
      <c r="U122" s="260">
        <f t="shared" si="606"/>
        <v>0</v>
      </c>
      <c r="V122" s="296">
        <f t="shared" ref="V122:W122" si="708">V11*V31</f>
        <v>0</v>
      </c>
      <c r="W122" s="297">
        <f t="shared" si="708"/>
        <v>0</v>
      </c>
      <c r="X122" s="260">
        <f t="shared" si="608"/>
        <v>0</v>
      </c>
      <c r="Y122" s="296">
        <f t="shared" ref="Y122:Z122" si="709">Y11*Y31</f>
        <v>0</v>
      </c>
      <c r="Z122" s="297">
        <f t="shared" si="709"/>
        <v>0</v>
      </c>
      <c r="AA122" s="260">
        <f t="shared" si="610"/>
        <v>0</v>
      </c>
      <c r="AB122" s="296">
        <f t="shared" ref="AB122:AC122" si="710">AB11*AB31</f>
        <v>0</v>
      </c>
      <c r="AC122" s="297">
        <f t="shared" si="710"/>
        <v>0</v>
      </c>
      <c r="AD122" s="260">
        <f t="shared" si="612"/>
        <v>0</v>
      </c>
      <c r="AE122" s="296">
        <f t="shared" ref="AE122:AF122" si="711">AE11*AE31</f>
        <v>0</v>
      </c>
      <c r="AF122" s="297">
        <f t="shared" si="711"/>
        <v>0</v>
      </c>
      <c r="AG122" s="260">
        <f t="shared" si="614"/>
        <v>0</v>
      </c>
      <c r="AH122" s="296">
        <f t="shared" ref="AH122:AI122" si="712">AH11*AH31</f>
        <v>0</v>
      </c>
      <c r="AI122" s="297">
        <f t="shared" si="712"/>
        <v>0</v>
      </c>
      <c r="AJ122" s="260">
        <f t="shared" si="616"/>
        <v>0</v>
      </c>
      <c r="AK122" s="296">
        <f t="shared" ref="AK122:AL122" si="713">AK11*AK31</f>
        <v>0</v>
      </c>
      <c r="AL122" s="297">
        <f t="shared" si="713"/>
        <v>0</v>
      </c>
      <c r="AM122" s="260">
        <f t="shared" si="618"/>
        <v>0</v>
      </c>
      <c r="AN122" s="296">
        <f t="shared" ref="AN122:AO122" si="714">AN11*AN31</f>
        <v>0</v>
      </c>
      <c r="AO122" s="297">
        <f t="shared" si="714"/>
        <v>0</v>
      </c>
      <c r="AP122" s="260">
        <f t="shared" si="620"/>
        <v>0</v>
      </c>
      <c r="AQ122" s="296">
        <f t="shared" ref="AQ122:AR122" si="715">AQ11*AQ31</f>
        <v>0</v>
      </c>
      <c r="AR122" s="297">
        <f t="shared" si="715"/>
        <v>0</v>
      </c>
      <c r="AS122" s="260">
        <f t="shared" si="622"/>
        <v>0</v>
      </c>
      <c r="AT122" s="296">
        <f t="shared" ref="AT122:AU122" si="716">AT11*AT31</f>
        <v>0</v>
      </c>
      <c r="AU122" s="297">
        <f t="shared" si="716"/>
        <v>0</v>
      </c>
      <c r="AV122" s="260">
        <f t="shared" si="624"/>
        <v>0</v>
      </c>
      <c r="AW122" s="296">
        <f t="shared" ref="AW122:AX122" si="717">AW11*AW31</f>
        <v>0</v>
      </c>
      <c r="AX122" s="297">
        <f t="shared" si="717"/>
        <v>0</v>
      </c>
      <c r="AY122" s="260">
        <f t="shared" si="626"/>
        <v>0</v>
      </c>
      <c r="AZ122" s="296">
        <f t="shared" ref="AZ122:BA122" si="718">AZ11*AZ31</f>
        <v>0</v>
      </c>
      <c r="BA122" s="297">
        <f t="shared" si="718"/>
        <v>0</v>
      </c>
      <c r="BB122" s="260">
        <f t="shared" si="628"/>
        <v>0</v>
      </c>
      <c r="BC122" s="296">
        <f t="shared" ref="BC122:BD122" si="719">BC11*BC31</f>
        <v>0</v>
      </c>
      <c r="BD122" s="297">
        <f t="shared" si="719"/>
        <v>0</v>
      </c>
      <c r="BE122" s="260">
        <f t="shared" si="630"/>
        <v>0</v>
      </c>
      <c r="BF122" s="296">
        <f t="shared" ref="BF122:BG122" si="720">BF11*BF31</f>
        <v>0</v>
      </c>
      <c r="BG122" s="297">
        <f t="shared" si="720"/>
        <v>0</v>
      </c>
      <c r="BH122" s="260">
        <f t="shared" si="632"/>
        <v>0</v>
      </c>
      <c r="BI122" s="296">
        <f t="shared" si="595"/>
        <v>0</v>
      </c>
      <c r="BJ122" s="297">
        <f t="shared" si="595"/>
        <v>0</v>
      </c>
      <c r="BK122" s="260">
        <f t="shared" si="633"/>
        <v>0</v>
      </c>
      <c r="BL122" s="296">
        <f t="shared" si="596"/>
        <v>0</v>
      </c>
      <c r="BM122" s="297">
        <f t="shared" si="596"/>
        <v>0</v>
      </c>
      <c r="BN122" s="260">
        <f t="shared" si="634"/>
        <v>0</v>
      </c>
      <c r="BO122" s="296">
        <f t="shared" si="597"/>
        <v>0</v>
      </c>
      <c r="BP122" s="297">
        <f t="shared" si="597"/>
        <v>0</v>
      </c>
      <c r="BQ122" s="260">
        <f t="shared" si="635"/>
        <v>0</v>
      </c>
    </row>
    <row r="123" spans="1:70">
      <c r="A123" s="780"/>
      <c r="B123" s="782"/>
      <c r="C123" s="288" t="s">
        <v>171</v>
      </c>
      <c r="D123" s="289">
        <f t="shared" si="575"/>
        <v>0</v>
      </c>
      <c r="E123" s="290">
        <f t="shared" si="159"/>
        <v>0</v>
      </c>
      <c r="F123" s="291">
        <f t="shared" si="576"/>
        <v>0</v>
      </c>
      <c r="G123" s="296">
        <f t="shared" si="577"/>
        <v>0</v>
      </c>
      <c r="H123" s="297">
        <f t="shared" si="577"/>
        <v>0</v>
      </c>
      <c r="I123" s="260">
        <f t="shared" si="598"/>
        <v>0</v>
      </c>
      <c r="J123" s="296">
        <f t="shared" ref="J123:K123" si="721">J12*J32</f>
        <v>0</v>
      </c>
      <c r="K123" s="297">
        <f t="shared" si="721"/>
        <v>0</v>
      </c>
      <c r="L123" s="260">
        <f t="shared" si="600"/>
        <v>0</v>
      </c>
      <c r="M123" s="296">
        <f t="shared" ref="M123:N123" si="722">M12*M32</f>
        <v>0</v>
      </c>
      <c r="N123" s="297">
        <f t="shared" si="722"/>
        <v>0</v>
      </c>
      <c r="O123" s="260">
        <f t="shared" si="602"/>
        <v>0</v>
      </c>
      <c r="P123" s="296">
        <f t="shared" ref="P123:Q123" si="723">P12*P32</f>
        <v>0</v>
      </c>
      <c r="Q123" s="297">
        <f t="shared" si="723"/>
        <v>0</v>
      </c>
      <c r="R123" s="260">
        <f t="shared" si="604"/>
        <v>0</v>
      </c>
      <c r="S123" s="296">
        <f t="shared" ref="S123:T123" si="724">S12*S32</f>
        <v>0</v>
      </c>
      <c r="T123" s="297">
        <f t="shared" si="724"/>
        <v>0</v>
      </c>
      <c r="U123" s="260">
        <f t="shared" si="606"/>
        <v>0</v>
      </c>
      <c r="V123" s="296">
        <f t="shared" ref="V123:W123" si="725">V12*V32</f>
        <v>0</v>
      </c>
      <c r="W123" s="297">
        <f t="shared" si="725"/>
        <v>0</v>
      </c>
      <c r="X123" s="260">
        <f t="shared" si="608"/>
        <v>0</v>
      </c>
      <c r="Y123" s="296">
        <f t="shared" ref="Y123:Z123" si="726">Y12*Y32</f>
        <v>0</v>
      </c>
      <c r="Z123" s="297">
        <f t="shared" si="726"/>
        <v>0</v>
      </c>
      <c r="AA123" s="260">
        <f t="shared" si="610"/>
        <v>0</v>
      </c>
      <c r="AB123" s="296">
        <f t="shared" ref="AB123:AC123" si="727">AB12*AB32</f>
        <v>0</v>
      </c>
      <c r="AC123" s="297">
        <f t="shared" si="727"/>
        <v>0</v>
      </c>
      <c r="AD123" s="260">
        <f t="shared" si="612"/>
        <v>0</v>
      </c>
      <c r="AE123" s="296">
        <f t="shared" ref="AE123:AF123" si="728">AE12*AE32</f>
        <v>0</v>
      </c>
      <c r="AF123" s="297">
        <f t="shared" si="728"/>
        <v>0</v>
      </c>
      <c r="AG123" s="260">
        <f t="shared" si="614"/>
        <v>0</v>
      </c>
      <c r="AH123" s="296">
        <f t="shared" ref="AH123:AI123" si="729">AH12*AH32</f>
        <v>0</v>
      </c>
      <c r="AI123" s="297">
        <f t="shared" si="729"/>
        <v>0</v>
      </c>
      <c r="AJ123" s="260">
        <f t="shared" si="616"/>
        <v>0</v>
      </c>
      <c r="AK123" s="296">
        <f t="shared" ref="AK123:AL123" si="730">AK12*AK32</f>
        <v>0</v>
      </c>
      <c r="AL123" s="297">
        <f t="shared" si="730"/>
        <v>0</v>
      </c>
      <c r="AM123" s="260">
        <f t="shared" si="618"/>
        <v>0</v>
      </c>
      <c r="AN123" s="296">
        <f t="shared" ref="AN123:AO123" si="731">AN12*AN32</f>
        <v>0</v>
      </c>
      <c r="AO123" s="297">
        <f t="shared" si="731"/>
        <v>0</v>
      </c>
      <c r="AP123" s="260">
        <f t="shared" si="620"/>
        <v>0</v>
      </c>
      <c r="AQ123" s="296">
        <f t="shared" ref="AQ123:AR123" si="732">AQ12*AQ32</f>
        <v>0</v>
      </c>
      <c r="AR123" s="297">
        <f t="shared" si="732"/>
        <v>0</v>
      </c>
      <c r="AS123" s="260">
        <f t="shared" si="622"/>
        <v>0</v>
      </c>
      <c r="AT123" s="296">
        <f t="shared" ref="AT123:AU123" si="733">AT12*AT32</f>
        <v>0</v>
      </c>
      <c r="AU123" s="297">
        <f t="shared" si="733"/>
        <v>0</v>
      </c>
      <c r="AV123" s="260">
        <f t="shared" si="624"/>
        <v>0</v>
      </c>
      <c r="AW123" s="296">
        <f t="shared" ref="AW123:AX123" si="734">AW12*AW32</f>
        <v>0</v>
      </c>
      <c r="AX123" s="297">
        <f t="shared" si="734"/>
        <v>0</v>
      </c>
      <c r="AY123" s="260">
        <f t="shared" si="626"/>
        <v>0</v>
      </c>
      <c r="AZ123" s="296">
        <f t="shared" ref="AZ123:BA123" si="735">AZ12*AZ32</f>
        <v>0</v>
      </c>
      <c r="BA123" s="297">
        <f t="shared" si="735"/>
        <v>0</v>
      </c>
      <c r="BB123" s="260">
        <f t="shared" si="628"/>
        <v>0</v>
      </c>
      <c r="BC123" s="296">
        <f t="shared" ref="BC123:BD123" si="736">BC12*BC32</f>
        <v>0</v>
      </c>
      <c r="BD123" s="297">
        <f t="shared" si="736"/>
        <v>0</v>
      </c>
      <c r="BE123" s="260">
        <f t="shared" si="630"/>
        <v>0</v>
      </c>
      <c r="BF123" s="296">
        <f t="shared" ref="BF123:BG123" si="737">BF12*BF32</f>
        <v>0</v>
      </c>
      <c r="BG123" s="297">
        <f t="shared" si="737"/>
        <v>0</v>
      </c>
      <c r="BH123" s="260">
        <f t="shared" si="632"/>
        <v>0</v>
      </c>
      <c r="BI123" s="296">
        <f t="shared" si="595"/>
        <v>0</v>
      </c>
      <c r="BJ123" s="297">
        <f t="shared" si="595"/>
        <v>0</v>
      </c>
      <c r="BK123" s="260">
        <f t="shared" si="633"/>
        <v>0</v>
      </c>
      <c r="BL123" s="296">
        <f t="shared" si="596"/>
        <v>0</v>
      </c>
      <c r="BM123" s="297">
        <f t="shared" si="596"/>
        <v>0</v>
      </c>
      <c r="BN123" s="260">
        <f t="shared" si="634"/>
        <v>0</v>
      </c>
      <c r="BO123" s="296">
        <f t="shared" si="597"/>
        <v>0</v>
      </c>
      <c r="BP123" s="297">
        <f t="shared" si="597"/>
        <v>0</v>
      </c>
      <c r="BQ123" s="260">
        <f t="shared" si="635"/>
        <v>0</v>
      </c>
    </row>
    <row r="124" spans="1:70">
      <c r="A124" s="780"/>
      <c r="B124" s="782"/>
      <c r="C124" s="288" t="s">
        <v>172</v>
      </c>
      <c r="D124" s="289">
        <f t="shared" si="575"/>
        <v>0</v>
      </c>
      <c r="E124" s="290">
        <f t="shared" si="159"/>
        <v>0</v>
      </c>
      <c r="F124" s="291">
        <f t="shared" si="576"/>
        <v>0</v>
      </c>
      <c r="G124" s="296">
        <f t="shared" si="577"/>
        <v>0</v>
      </c>
      <c r="H124" s="297">
        <f t="shared" si="577"/>
        <v>0</v>
      </c>
      <c r="I124" s="260">
        <f t="shared" si="598"/>
        <v>0</v>
      </c>
      <c r="J124" s="296">
        <f t="shared" ref="J124:K124" si="738">J13*J33</f>
        <v>0</v>
      </c>
      <c r="K124" s="297">
        <f t="shared" si="738"/>
        <v>0</v>
      </c>
      <c r="L124" s="260">
        <f t="shared" si="600"/>
        <v>0</v>
      </c>
      <c r="M124" s="296">
        <f t="shared" ref="M124:N124" si="739">M13*M33</f>
        <v>0</v>
      </c>
      <c r="N124" s="297">
        <f t="shared" si="739"/>
        <v>0</v>
      </c>
      <c r="O124" s="260">
        <f t="shared" si="602"/>
        <v>0</v>
      </c>
      <c r="P124" s="296">
        <f t="shared" ref="P124:Q124" si="740">P13*P33</f>
        <v>0</v>
      </c>
      <c r="Q124" s="297">
        <f t="shared" si="740"/>
        <v>0</v>
      </c>
      <c r="R124" s="260">
        <f t="shared" si="604"/>
        <v>0</v>
      </c>
      <c r="S124" s="296">
        <f t="shared" ref="S124:T124" si="741">S13*S33</f>
        <v>0</v>
      </c>
      <c r="T124" s="297">
        <f t="shared" si="741"/>
        <v>0</v>
      </c>
      <c r="U124" s="260">
        <f t="shared" si="606"/>
        <v>0</v>
      </c>
      <c r="V124" s="296">
        <f t="shared" ref="V124:W124" si="742">V13*V33</f>
        <v>0</v>
      </c>
      <c r="W124" s="297">
        <f t="shared" si="742"/>
        <v>0</v>
      </c>
      <c r="X124" s="260">
        <f t="shared" si="608"/>
        <v>0</v>
      </c>
      <c r="Y124" s="296">
        <f t="shared" ref="Y124:Z124" si="743">Y13*Y33</f>
        <v>0</v>
      </c>
      <c r="Z124" s="297">
        <f t="shared" si="743"/>
        <v>0</v>
      </c>
      <c r="AA124" s="260">
        <f t="shared" si="610"/>
        <v>0</v>
      </c>
      <c r="AB124" s="296">
        <f t="shared" ref="AB124:AC124" si="744">AB13*AB33</f>
        <v>0</v>
      </c>
      <c r="AC124" s="297">
        <f t="shared" si="744"/>
        <v>0</v>
      </c>
      <c r="AD124" s="260">
        <f t="shared" si="612"/>
        <v>0</v>
      </c>
      <c r="AE124" s="296">
        <f t="shared" ref="AE124:AF124" si="745">AE13*AE33</f>
        <v>0</v>
      </c>
      <c r="AF124" s="297">
        <f t="shared" si="745"/>
        <v>0</v>
      </c>
      <c r="AG124" s="260">
        <f t="shared" si="614"/>
        <v>0</v>
      </c>
      <c r="AH124" s="296">
        <f t="shared" ref="AH124:AI124" si="746">AH13*AH33</f>
        <v>0</v>
      </c>
      <c r="AI124" s="297">
        <f t="shared" si="746"/>
        <v>0</v>
      </c>
      <c r="AJ124" s="260">
        <f t="shared" si="616"/>
        <v>0</v>
      </c>
      <c r="AK124" s="296">
        <f t="shared" ref="AK124:AL124" si="747">AK13*AK33</f>
        <v>0</v>
      </c>
      <c r="AL124" s="297">
        <f t="shared" si="747"/>
        <v>0</v>
      </c>
      <c r="AM124" s="260">
        <f t="shared" si="618"/>
        <v>0</v>
      </c>
      <c r="AN124" s="296">
        <f t="shared" ref="AN124:AO124" si="748">AN13*AN33</f>
        <v>0</v>
      </c>
      <c r="AO124" s="297">
        <f t="shared" si="748"/>
        <v>0</v>
      </c>
      <c r="AP124" s="260">
        <f t="shared" si="620"/>
        <v>0</v>
      </c>
      <c r="AQ124" s="296">
        <f t="shared" ref="AQ124:AR124" si="749">AQ13*AQ33</f>
        <v>0</v>
      </c>
      <c r="AR124" s="297">
        <f t="shared" si="749"/>
        <v>0</v>
      </c>
      <c r="AS124" s="260">
        <f t="shared" si="622"/>
        <v>0</v>
      </c>
      <c r="AT124" s="296">
        <f t="shared" ref="AT124:AU124" si="750">AT13*AT33</f>
        <v>0</v>
      </c>
      <c r="AU124" s="297">
        <f t="shared" si="750"/>
        <v>0</v>
      </c>
      <c r="AV124" s="260">
        <f t="shared" si="624"/>
        <v>0</v>
      </c>
      <c r="AW124" s="296">
        <f t="shared" ref="AW124:AX124" si="751">AW13*AW33</f>
        <v>0</v>
      </c>
      <c r="AX124" s="297">
        <f t="shared" si="751"/>
        <v>0</v>
      </c>
      <c r="AY124" s="260">
        <f t="shared" si="626"/>
        <v>0</v>
      </c>
      <c r="AZ124" s="296">
        <f t="shared" ref="AZ124:BA124" si="752">AZ13*AZ33</f>
        <v>0</v>
      </c>
      <c r="BA124" s="297">
        <f t="shared" si="752"/>
        <v>0</v>
      </c>
      <c r="BB124" s="260">
        <f t="shared" si="628"/>
        <v>0</v>
      </c>
      <c r="BC124" s="296">
        <f t="shared" ref="BC124:BD124" si="753">BC13*BC33</f>
        <v>0</v>
      </c>
      <c r="BD124" s="297">
        <f t="shared" si="753"/>
        <v>0</v>
      </c>
      <c r="BE124" s="260">
        <f t="shared" si="630"/>
        <v>0</v>
      </c>
      <c r="BF124" s="296">
        <f t="shared" ref="BF124:BG124" si="754">BF13*BF33</f>
        <v>0</v>
      </c>
      <c r="BG124" s="297">
        <f t="shared" si="754"/>
        <v>0</v>
      </c>
      <c r="BH124" s="260">
        <f t="shared" si="632"/>
        <v>0</v>
      </c>
      <c r="BI124" s="296">
        <f t="shared" si="595"/>
        <v>0</v>
      </c>
      <c r="BJ124" s="297">
        <f t="shared" si="595"/>
        <v>0</v>
      </c>
      <c r="BK124" s="260">
        <f t="shared" si="633"/>
        <v>0</v>
      </c>
      <c r="BL124" s="296">
        <f t="shared" si="596"/>
        <v>0</v>
      </c>
      <c r="BM124" s="297">
        <f t="shared" si="596"/>
        <v>0</v>
      </c>
      <c r="BN124" s="260">
        <f t="shared" si="634"/>
        <v>0</v>
      </c>
      <c r="BO124" s="296">
        <f t="shared" si="597"/>
        <v>0</v>
      </c>
      <c r="BP124" s="297">
        <f t="shared" si="597"/>
        <v>0</v>
      </c>
      <c r="BQ124" s="260">
        <f t="shared" si="635"/>
        <v>0</v>
      </c>
    </row>
    <row r="125" spans="1:70" ht="15.75" thickBot="1">
      <c r="A125" s="781"/>
      <c r="B125" s="783"/>
      <c r="C125" s="298" t="s">
        <v>173</v>
      </c>
      <c r="D125" s="299">
        <f t="shared" si="575"/>
        <v>0</v>
      </c>
      <c r="E125" s="300">
        <f t="shared" si="159"/>
        <v>0</v>
      </c>
      <c r="F125" s="301">
        <f t="shared" si="576"/>
        <v>0</v>
      </c>
      <c r="G125" s="302">
        <f t="shared" si="577"/>
        <v>0</v>
      </c>
      <c r="H125" s="303">
        <f t="shared" si="577"/>
        <v>0</v>
      </c>
      <c r="I125" s="265">
        <f t="shared" si="598"/>
        <v>0</v>
      </c>
      <c r="J125" s="302">
        <f t="shared" ref="J125:K125" si="755">J14*J34</f>
        <v>0</v>
      </c>
      <c r="K125" s="303">
        <f t="shared" si="755"/>
        <v>0</v>
      </c>
      <c r="L125" s="265">
        <f t="shared" si="600"/>
        <v>0</v>
      </c>
      <c r="M125" s="302">
        <f t="shared" ref="M125:N125" si="756">M14*M34</f>
        <v>0</v>
      </c>
      <c r="N125" s="303">
        <f t="shared" si="756"/>
        <v>0</v>
      </c>
      <c r="O125" s="265">
        <f t="shared" si="602"/>
        <v>0</v>
      </c>
      <c r="P125" s="302">
        <f t="shared" ref="P125:Q125" si="757">P14*P34</f>
        <v>0</v>
      </c>
      <c r="Q125" s="303">
        <f t="shared" si="757"/>
        <v>0</v>
      </c>
      <c r="R125" s="265">
        <f t="shared" si="604"/>
        <v>0</v>
      </c>
      <c r="S125" s="302">
        <f t="shared" ref="S125:T125" si="758">S14*S34</f>
        <v>0</v>
      </c>
      <c r="T125" s="303">
        <f t="shared" si="758"/>
        <v>0</v>
      </c>
      <c r="U125" s="265">
        <f t="shared" si="606"/>
        <v>0</v>
      </c>
      <c r="V125" s="302">
        <f t="shared" ref="V125:W125" si="759">V14*V34</f>
        <v>0</v>
      </c>
      <c r="W125" s="303">
        <f t="shared" si="759"/>
        <v>0</v>
      </c>
      <c r="X125" s="265">
        <f t="shared" si="608"/>
        <v>0</v>
      </c>
      <c r="Y125" s="302">
        <f t="shared" ref="Y125:Z125" si="760">Y14*Y34</f>
        <v>0</v>
      </c>
      <c r="Z125" s="303">
        <f t="shared" si="760"/>
        <v>0</v>
      </c>
      <c r="AA125" s="265">
        <f t="shared" si="610"/>
        <v>0</v>
      </c>
      <c r="AB125" s="302">
        <f t="shared" ref="AB125:AC125" si="761">AB14*AB34</f>
        <v>0</v>
      </c>
      <c r="AC125" s="303">
        <f t="shared" si="761"/>
        <v>0</v>
      </c>
      <c r="AD125" s="265">
        <f t="shared" si="612"/>
        <v>0</v>
      </c>
      <c r="AE125" s="302">
        <f t="shared" ref="AE125:AF125" si="762">AE14*AE34</f>
        <v>0</v>
      </c>
      <c r="AF125" s="303">
        <f t="shared" si="762"/>
        <v>0</v>
      </c>
      <c r="AG125" s="265">
        <f t="shared" si="614"/>
        <v>0</v>
      </c>
      <c r="AH125" s="302">
        <f t="shared" ref="AH125:AI125" si="763">AH14*AH34</f>
        <v>0</v>
      </c>
      <c r="AI125" s="303">
        <f t="shared" si="763"/>
        <v>0</v>
      </c>
      <c r="AJ125" s="265">
        <f t="shared" si="616"/>
        <v>0</v>
      </c>
      <c r="AK125" s="302">
        <f t="shared" ref="AK125:AL125" si="764">AK14*AK34</f>
        <v>0</v>
      </c>
      <c r="AL125" s="303">
        <f t="shared" si="764"/>
        <v>0</v>
      </c>
      <c r="AM125" s="265">
        <f t="shared" si="618"/>
        <v>0</v>
      </c>
      <c r="AN125" s="302">
        <f t="shared" ref="AN125:AO125" si="765">AN14*AN34</f>
        <v>0</v>
      </c>
      <c r="AO125" s="303">
        <f t="shared" si="765"/>
        <v>0</v>
      </c>
      <c r="AP125" s="265">
        <f t="shared" si="620"/>
        <v>0</v>
      </c>
      <c r="AQ125" s="302">
        <f t="shared" ref="AQ125:AR125" si="766">AQ14*AQ34</f>
        <v>0</v>
      </c>
      <c r="AR125" s="303">
        <f t="shared" si="766"/>
        <v>0</v>
      </c>
      <c r="AS125" s="265">
        <f t="shared" si="622"/>
        <v>0</v>
      </c>
      <c r="AT125" s="302">
        <f t="shared" ref="AT125:AU125" si="767">AT14*AT34</f>
        <v>0</v>
      </c>
      <c r="AU125" s="303">
        <f t="shared" si="767"/>
        <v>0</v>
      </c>
      <c r="AV125" s="265">
        <f t="shared" si="624"/>
        <v>0</v>
      </c>
      <c r="AW125" s="302">
        <f t="shared" ref="AW125:AX125" si="768">AW14*AW34</f>
        <v>0</v>
      </c>
      <c r="AX125" s="303">
        <f t="shared" si="768"/>
        <v>0</v>
      </c>
      <c r="AY125" s="265">
        <f t="shared" si="626"/>
        <v>0</v>
      </c>
      <c r="AZ125" s="302">
        <f t="shared" ref="AZ125:BA125" si="769">AZ14*AZ34</f>
        <v>0</v>
      </c>
      <c r="BA125" s="303">
        <f t="shared" si="769"/>
        <v>0</v>
      </c>
      <c r="BB125" s="265">
        <f t="shared" si="628"/>
        <v>0</v>
      </c>
      <c r="BC125" s="302">
        <f t="shared" ref="BC125:BD125" si="770">BC14*BC34</f>
        <v>0</v>
      </c>
      <c r="BD125" s="303">
        <f t="shared" si="770"/>
        <v>0</v>
      </c>
      <c r="BE125" s="265">
        <f t="shared" si="630"/>
        <v>0</v>
      </c>
      <c r="BF125" s="302">
        <f t="shared" ref="BF125:BG125" si="771">BF14*BF34</f>
        <v>0</v>
      </c>
      <c r="BG125" s="303">
        <f t="shared" si="771"/>
        <v>0</v>
      </c>
      <c r="BH125" s="265">
        <f t="shared" si="632"/>
        <v>0</v>
      </c>
      <c r="BI125" s="302">
        <f t="shared" si="595"/>
        <v>0</v>
      </c>
      <c r="BJ125" s="303">
        <f t="shared" si="595"/>
        <v>0</v>
      </c>
      <c r="BK125" s="265">
        <f t="shared" si="633"/>
        <v>0</v>
      </c>
      <c r="BL125" s="302">
        <f t="shared" si="596"/>
        <v>0</v>
      </c>
      <c r="BM125" s="303">
        <f t="shared" si="596"/>
        <v>0</v>
      </c>
      <c r="BN125" s="265">
        <f t="shared" si="634"/>
        <v>0</v>
      </c>
      <c r="BO125" s="302">
        <f t="shared" si="597"/>
        <v>0</v>
      </c>
      <c r="BP125" s="303">
        <f t="shared" si="597"/>
        <v>0</v>
      </c>
      <c r="BQ125" s="265">
        <f t="shared" si="635"/>
        <v>0</v>
      </c>
    </row>
    <row r="126" spans="1:70">
      <c r="A126" s="780" t="s">
        <v>116</v>
      </c>
      <c r="B126" s="782" t="s">
        <v>213</v>
      </c>
      <c r="C126" s="288" t="s">
        <v>164</v>
      </c>
      <c r="D126" s="289">
        <f t="shared" si="575"/>
        <v>0</v>
      </c>
      <c r="E126" s="290">
        <f t="shared" si="159"/>
        <v>0</v>
      </c>
      <c r="F126" s="291">
        <f t="shared" si="576"/>
        <v>0</v>
      </c>
      <c r="G126" s="304">
        <f>G55</f>
        <v>0</v>
      </c>
      <c r="H126" s="305">
        <f t="shared" ref="H126:H135" si="772">H55*(1+$BR$126)</f>
        <v>0</v>
      </c>
      <c r="I126" s="255">
        <f>H126-G126</f>
        <v>0</v>
      </c>
      <c r="J126" s="304">
        <f>J55</f>
        <v>0</v>
      </c>
      <c r="K126" s="305">
        <f>K55*(1+$BR$126)</f>
        <v>0</v>
      </c>
      <c r="L126" s="255">
        <f>K126-J126</f>
        <v>0</v>
      </c>
      <c r="M126" s="304">
        <f>M55</f>
        <v>0</v>
      </c>
      <c r="N126" s="305">
        <f>N55*(1+$BR$126)</f>
        <v>0</v>
      </c>
      <c r="O126" s="255">
        <f>N126-M126</f>
        <v>0</v>
      </c>
      <c r="P126" s="304">
        <f t="shared" ref="P126:P135" si="773">P55</f>
        <v>0</v>
      </c>
      <c r="Q126" s="305">
        <f t="shared" ref="Q126:Q135" si="774">Q55*(1+$BR$126)</f>
        <v>0</v>
      </c>
      <c r="R126" s="255">
        <f>Q126-P126</f>
        <v>0</v>
      </c>
      <c r="S126" s="304">
        <f t="shared" ref="S126:S135" si="775">S55</f>
        <v>0</v>
      </c>
      <c r="T126" s="305">
        <f t="shared" ref="T126:T135" si="776">T55*(1+$BR$126)</f>
        <v>0</v>
      </c>
      <c r="U126" s="255">
        <f>T126-S126</f>
        <v>0</v>
      </c>
      <c r="V126" s="304">
        <f t="shared" ref="V126:V135" si="777">V55</f>
        <v>0</v>
      </c>
      <c r="W126" s="305">
        <f t="shared" ref="W126:W135" si="778">W55*(1+$BR$126)</f>
        <v>0</v>
      </c>
      <c r="X126" s="255">
        <f>W126-V126</f>
        <v>0</v>
      </c>
      <c r="Y126" s="304">
        <f>Y55</f>
        <v>0</v>
      </c>
      <c r="Z126" s="305">
        <f>Z55*(1+$BR$126)</f>
        <v>0</v>
      </c>
      <c r="AA126" s="255">
        <f>Z126-Y126</f>
        <v>0</v>
      </c>
      <c r="AB126" s="304">
        <f>AB55</f>
        <v>0</v>
      </c>
      <c r="AC126" s="305">
        <f>AC55*(1+$BR$126)</f>
        <v>0</v>
      </c>
      <c r="AD126" s="255">
        <f>AC126-AB126</f>
        <v>0</v>
      </c>
      <c r="AE126" s="304">
        <f t="shared" ref="AE126:AE135" si="779">AE55</f>
        <v>0</v>
      </c>
      <c r="AF126" s="305">
        <f t="shared" ref="AF126:AF135" si="780">AF55*(1+$BR$126)</f>
        <v>0</v>
      </c>
      <c r="AG126" s="255">
        <f>AF126-AE126</f>
        <v>0</v>
      </c>
      <c r="AH126" s="304">
        <f t="shared" ref="AH126:AH135" si="781">AH55</f>
        <v>0</v>
      </c>
      <c r="AI126" s="305">
        <f t="shared" ref="AI126:AI135" si="782">AI55*(1+$BR$126)</f>
        <v>0</v>
      </c>
      <c r="AJ126" s="255">
        <f>AI126-AH126</f>
        <v>0</v>
      </c>
      <c r="AK126" s="304">
        <f t="shared" ref="AK126:AK135" si="783">AK55</f>
        <v>0</v>
      </c>
      <c r="AL126" s="305">
        <f t="shared" ref="AL126:AL135" si="784">AL55*(1+$BR$126)</f>
        <v>0</v>
      </c>
      <c r="AM126" s="255">
        <f>AL126-AK126</f>
        <v>0</v>
      </c>
      <c r="AN126" s="304">
        <f>AN55</f>
        <v>0</v>
      </c>
      <c r="AO126" s="305">
        <f>AO55*(1+$BR$126)</f>
        <v>0</v>
      </c>
      <c r="AP126" s="255">
        <f>AO126-AN126</f>
        <v>0</v>
      </c>
      <c r="AQ126" s="304">
        <f>AQ55</f>
        <v>0</v>
      </c>
      <c r="AR126" s="305">
        <f>AR55*(1+$BR$126)</f>
        <v>0</v>
      </c>
      <c r="AS126" s="255">
        <f>AR126-AQ126</f>
        <v>0</v>
      </c>
      <c r="AT126" s="304">
        <f t="shared" ref="AT126:AT135" si="785">AT55</f>
        <v>0</v>
      </c>
      <c r="AU126" s="305">
        <f t="shared" ref="AU126:AU135" si="786">AU55*(1+$BR$126)</f>
        <v>0</v>
      </c>
      <c r="AV126" s="255">
        <f>AU126-AT126</f>
        <v>0</v>
      </c>
      <c r="AW126" s="304">
        <f t="shared" ref="AW126:AW135" si="787">AW55</f>
        <v>0</v>
      </c>
      <c r="AX126" s="305">
        <f t="shared" ref="AX126:AX135" si="788">AX55*(1+$BR$126)</f>
        <v>0</v>
      </c>
      <c r="AY126" s="255">
        <f>AX126-AW126</f>
        <v>0</v>
      </c>
      <c r="AZ126" s="304">
        <f t="shared" ref="AZ126:AZ135" si="789">AZ55</f>
        <v>0</v>
      </c>
      <c r="BA126" s="305">
        <f t="shared" ref="BA126:BA135" si="790">BA55*(1+$BR$126)</f>
        <v>0</v>
      </c>
      <c r="BB126" s="255">
        <f>BA126-AZ126</f>
        <v>0</v>
      </c>
      <c r="BC126" s="304">
        <f>BC55</f>
        <v>0</v>
      </c>
      <c r="BD126" s="305">
        <f>BD55*(1+$BR$126)</f>
        <v>0</v>
      </c>
      <c r="BE126" s="255">
        <f>BD126-BC126</f>
        <v>0</v>
      </c>
      <c r="BF126" s="304">
        <f>BF55</f>
        <v>0</v>
      </c>
      <c r="BG126" s="305">
        <f>BG55*(1+$BR$126)</f>
        <v>0</v>
      </c>
      <c r="BH126" s="255">
        <f>BG126-BF126</f>
        <v>0</v>
      </c>
      <c r="BI126" s="304">
        <f t="shared" ref="BI126:BI135" si="791">BI55</f>
        <v>0</v>
      </c>
      <c r="BJ126" s="305">
        <f t="shared" ref="BJ126:BJ135" si="792">BJ55*(1+$BR$126)</f>
        <v>0</v>
      </c>
      <c r="BK126" s="255">
        <f>BJ126-BI126</f>
        <v>0</v>
      </c>
      <c r="BL126" s="304">
        <f t="shared" ref="BL126:BL135" si="793">BL55</f>
        <v>0</v>
      </c>
      <c r="BM126" s="305">
        <f t="shared" ref="BM126:BM135" si="794">BM55*(1+$BR$126)</f>
        <v>0</v>
      </c>
      <c r="BN126" s="255">
        <f>BM126-BL126</f>
        <v>0</v>
      </c>
      <c r="BO126" s="304">
        <f t="shared" ref="BO126:BO135" si="795">BO55</f>
        <v>0</v>
      </c>
      <c r="BP126" s="305">
        <f t="shared" ref="BP126:BP135" si="796">BP55*(1+$BR$126)</f>
        <v>0</v>
      </c>
      <c r="BQ126" s="255">
        <f>BP126-BO126</f>
        <v>0</v>
      </c>
      <c r="BR126" s="256">
        <f>'Analyza citlivosti - AgendovéIS'!H7</f>
        <v>0</v>
      </c>
    </row>
    <row r="127" spans="1:70">
      <c r="A127" s="780"/>
      <c r="B127" s="782"/>
      <c r="C127" s="288" t="s">
        <v>165</v>
      </c>
      <c r="D127" s="289">
        <f t="shared" si="575"/>
        <v>0</v>
      </c>
      <c r="E127" s="290">
        <f t="shared" si="159"/>
        <v>0</v>
      </c>
      <c r="F127" s="291">
        <f t="shared" si="576"/>
        <v>0</v>
      </c>
      <c r="G127" s="296">
        <f t="shared" ref="G127:G135" si="797">G56</f>
        <v>0</v>
      </c>
      <c r="H127" s="297">
        <f t="shared" si="772"/>
        <v>0</v>
      </c>
      <c r="I127" s="260">
        <f t="shared" ref="I127:I135" si="798">H127-G127</f>
        <v>0</v>
      </c>
      <c r="J127" s="296">
        <f t="shared" ref="J127:J135" si="799">J56</f>
        <v>0</v>
      </c>
      <c r="K127" s="297">
        <f t="shared" ref="K127:K135" si="800">K56*(1+$BR$126)</f>
        <v>0</v>
      </c>
      <c r="L127" s="260">
        <f t="shared" ref="L127:L135" si="801">K127-J127</f>
        <v>0</v>
      </c>
      <c r="M127" s="296">
        <f t="shared" ref="M127:M135" si="802">M56</f>
        <v>0</v>
      </c>
      <c r="N127" s="297">
        <f t="shared" ref="N127:N135" si="803">N56*(1+$BR$126)</f>
        <v>0</v>
      </c>
      <c r="O127" s="260">
        <f t="shared" ref="O127:O135" si="804">N127-M127</f>
        <v>0</v>
      </c>
      <c r="P127" s="296">
        <f t="shared" si="773"/>
        <v>0</v>
      </c>
      <c r="Q127" s="297">
        <f t="shared" si="774"/>
        <v>0</v>
      </c>
      <c r="R127" s="260">
        <f t="shared" ref="R127:R135" si="805">Q127-P127</f>
        <v>0</v>
      </c>
      <c r="S127" s="296">
        <f t="shared" si="775"/>
        <v>0</v>
      </c>
      <c r="T127" s="297">
        <f t="shared" si="776"/>
        <v>0</v>
      </c>
      <c r="U127" s="260">
        <f t="shared" ref="U127:U135" si="806">T127-S127</f>
        <v>0</v>
      </c>
      <c r="V127" s="296">
        <f t="shared" si="777"/>
        <v>0</v>
      </c>
      <c r="W127" s="297">
        <f t="shared" si="778"/>
        <v>0</v>
      </c>
      <c r="X127" s="260">
        <f t="shared" ref="X127:X135" si="807">W127-V127</f>
        <v>0</v>
      </c>
      <c r="Y127" s="296">
        <f t="shared" ref="Y127:Y135" si="808">Y56</f>
        <v>0</v>
      </c>
      <c r="Z127" s="297">
        <f t="shared" ref="Z127:Z135" si="809">Z56*(1+$BR$126)</f>
        <v>0</v>
      </c>
      <c r="AA127" s="260">
        <f t="shared" ref="AA127:AA135" si="810">Z127-Y127</f>
        <v>0</v>
      </c>
      <c r="AB127" s="296">
        <f t="shared" ref="AB127:AB135" si="811">AB56</f>
        <v>0</v>
      </c>
      <c r="AC127" s="297">
        <f t="shared" ref="AC127:AC135" si="812">AC56*(1+$BR$126)</f>
        <v>0</v>
      </c>
      <c r="AD127" s="260">
        <f t="shared" ref="AD127:AD135" si="813">AC127-AB127</f>
        <v>0</v>
      </c>
      <c r="AE127" s="296">
        <f t="shared" si="779"/>
        <v>0</v>
      </c>
      <c r="AF127" s="297">
        <f t="shared" si="780"/>
        <v>0</v>
      </c>
      <c r="AG127" s="260">
        <f t="shared" ref="AG127:AG135" si="814">AF127-AE127</f>
        <v>0</v>
      </c>
      <c r="AH127" s="296">
        <f t="shared" si="781"/>
        <v>0</v>
      </c>
      <c r="AI127" s="297">
        <f t="shared" si="782"/>
        <v>0</v>
      </c>
      <c r="AJ127" s="260">
        <f t="shared" ref="AJ127:AJ135" si="815">AI127-AH127</f>
        <v>0</v>
      </c>
      <c r="AK127" s="296">
        <f t="shared" si="783"/>
        <v>0</v>
      </c>
      <c r="AL127" s="297">
        <f t="shared" si="784"/>
        <v>0</v>
      </c>
      <c r="AM127" s="260">
        <f t="shared" ref="AM127:AM135" si="816">AL127-AK127</f>
        <v>0</v>
      </c>
      <c r="AN127" s="296">
        <f t="shared" ref="AN127:AN135" si="817">AN56</f>
        <v>0</v>
      </c>
      <c r="AO127" s="297">
        <f t="shared" ref="AO127:AO135" si="818">AO56*(1+$BR$126)</f>
        <v>0</v>
      </c>
      <c r="AP127" s="260">
        <f t="shared" ref="AP127:AP135" si="819">AO127-AN127</f>
        <v>0</v>
      </c>
      <c r="AQ127" s="296">
        <f t="shared" ref="AQ127:AQ135" si="820">AQ56</f>
        <v>0</v>
      </c>
      <c r="AR127" s="297">
        <f t="shared" ref="AR127:AR135" si="821">AR56*(1+$BR$126)</f>
        <v>0</v>
      </c>
      <c r="AS127" s="260">
        <f t="shared" ref="AS127:AS135" si="822">AR127-AQ127</f>
        <v>0</v>
      </c>
      <c r="AT127" s="296">
        <f t="shared" si="785"/>
        <v>0</v>
      </c>
      <c r="AU127" s="297">
        <f t="shared" si="786"/>
        <v>0</v>
      </c>
      <c r="AV127" s="260">
        <f t="shared" ref="AV127:AV135" si="823">AU127-AT127</f>
        <v>0</v>
      </c>
      <c r="AW127" s="296">
        <f t="shared" si="787"/>
        <v>0</v>
      </c>
      <c r="AX127" s="297">
        <f t="shared" si="788"/>
        <v>0</v>
      </c>
      <c r="AY127" s="260">
        <f t="shared" ref="AY127:AY135" si="824">AX127-AW127</f>
        <v>0</v>
      </c>
      <c r="AZ127" s="296">
        <f t="shared" si="789"/>
        <v>0</v>
      </c>
      <c r="BA127" s="297">
        <f t="shared" si="790"/>
        <v>0</v>
      </c>
      <c r="BB127" s="260">
        <f t="shared" ref="BB127:BB135" si="825">BA127-AZ127</f>
        <v>0</v>
      </c>
      <c r="BC127" s="296">
        <f t="shared" ref="BC127:BC135" si="826">BC56</f>
        <v>0</v>
      </c>
      <c r="BD127" s="297">
        <f t="shared" ref="BD127:BD135" si="827">BD56*(1+$BR$126)</f>
        <v>0</v>
      </c>
      <c r="BE127" s="260">
        <f t="shared" ref="BE127:BE135" si="828">BD127-BC127</f>
        <v>0</v>
      </c>
      <c r="BF127" s="296">
        <f t="shared" ref="BF127:BF135" si="829">BF56</f>
        <v>0</v>
      </c>
      <c r="BG127" s="297">
        <f t="shared" ref="BG127:BG135" si="830">BG56*(1+$BR$126)</f>
        <v>0</v>
      </c>
      <c r="BH127" s="260">
        <f t="shared" ref="BH127:BH135" si="831">BG127-BF127</f>
        <v>0</v>
      </c>
      <c r="BI127" s="296">
        <f t="shared" si="791"/>
        <v>0</v>
      </c>
      <c r="BJ127" s="297">
        <f t="shared" si="792"/>
        <v>0</v>
      </c>
      <c r="BK127" s="260">
        <f t="shared" ref="BK127:BK135" si="832">BJ127-BI127</f>
        <v>0</v>
      </c>
      <c r="BL127" s="296">
        <f t="shared" si="793"/>
        <v>0</v>
      </c>
      <c r="BM127" s="297">
        <f t="shared" si="794"/>
        <v>0</v>
      </c>
      <c r="BN127" s="260">
        <f t="shared" ref="BN127:BN135" si="833">BM127-BL127</f>
        <v>0</v>
      </c>
      <c r="BO127" s="296">
        <f t="shared" si="795"/>
        <v>0</v>
      </c>
      <c r="BP127" s="297">
        <f t="shared" si="796"/>
        <v>0</v>
      </c>
      <c r="BQ127" s="260">
        <f t="shared" ref="BQ127:BQ135" si="834">BP127-BO127</f>
        <v>0</v>
      </c>
    </row>
    <row r="128" spans="1:70">
      <c r="A128" s="780"/>
      <c r="B128" s="782"/>
      <c r="C128" s="288" t="s">
        <v>166</v>
      </c>
      <c r="D128" s="289">
        <f t="shared" si="575"/>
        <v>0</v>
      </c>
      <c r="E128" s="290">
        <f t="shared" si="159"/>
        <v>0</v>
      </c>
      <c r="F128" s="291">
        <f t="shared" si="576"/>
        <v>0</v>
      </c>
      <c r="G128" s="296">
        <f t="shared" si="797"/>
        <v>0</v>
      </c>
      <c r="H128" s="297">
        <f t="shared" si="772"/>
        <v>0</v>
      </c>
      <c r="I128" s="260">
        <f t="shared" si="798"/>
        <v>0</v>
      </c>
      <c r="J128" s="296">
        <f t="shared" si="799"/>
        <v>0</v>
      </c>
      <c r="K128" s="297">
        <f t="shared" si="800"/>
        <v>0</v>
      </c>
      <c r="L128" s="260">
        <f t="shared" si="801"/>
        <v>0</v>
      </c>
      <c r="M128" s="296">
        <f t="shared" si="802"/>
        <v>0</v>
      </c>
      <c r="N128" s="297">
        <f t="shared" si="803"/>
        <v>0</v>
      </c>
      <c r="O128" s="260">
        <f t="shared" si="804"/>
        <v>0</v>
      </c>
      <c r="P128" s="296">
        <f t="shared" si="773"/>
        <v>0</v>
      </c>
      <c r="Q128" s="297">
        <f t="shared" si="774"/>
        <v>0</v>
      </c>
      <c r="R128" s="260">
        <f t="shared" si="805"/>
        <v>0</v>
      </c>
      <c r="S128" s="296">
        <f t="shared" si="775"/>
        <v>0</v>
      </c>
      <c r="T128" s="297">
        <f t="shared" si="776"/>
        <v>0</v>
      </c>
      <c r="U128" s="260">
        <f t="shared" si="806"/>
        <v>0</v>
      </c>
      <c r="V128" s="296">
        <f t="shared" si="777"/>
        <v>0</v>
      </c>
      <c r="W128" s="297">
        <f t="shared" si="778"/>
        <v>0</v>
      </c>
      <c r="X128" s="260">
        <f t="shared" si="807"/>
        <v>0</v>
      </c>
      <c r="Y128" s="296">
        <f t="shared" si="808"/>
        <v>0</v>
      </c>
      <c r="Z128" s="297">
        <f t="shared" si="809"/>
        <v>0</v>
      </c>
      <c r="AA128" s="260">
        <f t="shared" si="810"/>
        <v>0</v>
      </c>
      <c r="AB128" s="296">
        <f t="shared" si="811"/>
        <v>0</v>
      </c>
      <c r="AC128" s="297">
        <f t="shared" si="812"/>
        <v>0</v>
      </c>
      <c r="AD128" s="260">
        <f t="shared" si="813"/>
        <v>0</v>
      </c>
      <c r="AE128" s="296">
        <f t="shared" si="779"/>
        <v>0</v>
      </c>
      <c r="AF128" s="297">
        <f t="shared" si="780"/>
        <v>0</v>
      </c>
      <c r="AG128" s="260">
        <f t="shared" si="814"/>
        <v>0</v>
      </c>
      <c r="AH128" s="296">
        <f t="shared" si="781"/>
        <v>0</v>
      </c>
      <c r="AI128" s="297">
        <f t="shared" si="782"/>
        <v>0</v>
      </c>
      <c r="AJ128" s="260">
        <f t="shared" si="815"/>
        <v>0</v>
      </c>
      <c r="AK128" s="296">
        <f t="shared" si="783"/>
        <v>0</v>
      </c>
      <c r="AL128" s="297">
        <f t="shared" si="784"/>
        <v>0</v>
      </c>
      <c r="AM128" s="260">
        <f t="shared" si="816"/>
        <v>0</v>
      </c>
      <c r="AN128" s="296">
        <f t="shared" si="817"/>
        <v>0</v>
      </c>
      <c r="AO128" s="297">
        <f t="shared" si="818"/>
        <v>0</v>
      </c>
      <c r="AP128" s="260">
        <f t="shared" si="819"/>
        <v>0</v>
      </c>
      <c r="AQ128" s="296">
        <f t="shared" si="820"/>
        <v>0</v>
      </c>
      <c r="AR128" s="297">
        <f t="shared" si="821"/>
        <v>0</v>
      </c>
      <c r="AS128" s="260">
        <f t="shared" si="822"/>
        <v>0</v>
      </c>
      <c r="AT128" s="296">
        <f t="shared" si="785"/>
        <v>0</v>
      </c>
      <c r="AU128" s="297">
        <f t="shared" si="786"/>
        <v>0</v>
      </c>
      <c r="AV128" s="260">
        <f t="shared" si="823"/>
        <v>0</v>
      </c>
      <c r="AW128" s="296">
        <f t="shared" si="787"/>
        <v>0</v>
      </c>
      <c r="AX128" s="297">
        <f t="shared" si="788"/>
        <v>0</v>
      </c>
      <c r="AY128" s="260">
        <f t="shared" si="824"/>
        <v>0</v>
      </c>
      <c r="AZ128" s="296">
        <f t="shared" si="789"/>
        <v>0</v>
      </c>
      <c r="BA128" s="297">
        <f t="shared" si="790"/>
        <v>0</v>
      </c>
      <c r="BB128" s="260">
        <f t="shared" si="825"/>
        <v>0</v>
      </c>
      <c r="BC128" s="296">
        <f t="shared" si="826"/>
        <v>0</v>
      </c>
      <c r="BD128" s="297">
        <f t="shared" si="827"/>
        <v>0</v>
      </c>
      <c r="BE128" s="260">
        <f t="shared" si="828"/>
        <v>0</v>
      </c>
      <c r="BF128" s="296">
        <f t="shared" si="829"/>
        <v>0</v>
      </c>
      <c r="BG128" s="297">
        <f t="shared" si="830"/>
        <v>0</v>
      </c>
      <c r="BH128" s="260">
        <f t="shared" si="831"/>
        <v>0</v>
      </c>
      <c r="BI128" s="296">
        <f t="shared" si="791"/>
        <v>0</v>
      </c>
      <c r="BJ128" s="297">
        <f t="shared" si="792"/>
        <v>0</v>
      </c>
      <c r="BK128" s="260">
        <f t="shared" si="832"/>
        <v>0</v>
      </c>
      <c r="BL128" s="296">
        <f t="shared" si="793"/>
        <v>0</v>
      </c>
      <c r="BM128" s="297">
        <f t="shared" si="794"/>
        <v>0</v>
      </c>
      <c r="BN128" s="260">
        <f t="shared" si="833"/>
        <v>0</v>
      </c>
      <c r="BO128" s="296">
        <f t="shared" si="795"/>
        <v>0</v>
      </c>
      <c r="BP128" s="297">
        <f t="shared" si="796"/>
        <v>0</v>
      </c>
      <c r="BQ128" s="260">
        <f t="shared" si="834"/>
        <v>0</v>
      </c>
    </row>
    <row r="129" spans="1:69">
      <c r="A129" s="780"/>
      <c r="B129" s="782"/>
      <c r="C129" s="288" t="s">
        <v>167</v>
      </c>
      <c r="D129" s="289">
        <f t="shared" si="575"/>
        <v>0</v>
      </c>
      <c r="E129" s="290">
        <f t="shared" si="159"/>
        <v>0</v>
      </c>
      <c r="F129" s="291">
        <f t="shared" si="576"/>
        <v>0</v>
      </c>
      <c r="G129" s="296">
        <f t="shared" si="797"/>
        <v>0</v>
      </c>
      <c r="H129" s="297">
        <f t="shared" si="772"/>
        <v>0</v>
      </c>
      <c r="I129" s="260">
        <f t="shared" si="798"/>
        <v>0</v>
      </c>
      <c r="J129" s="296">
        <f t="shared" si="799"/>
        <v>0</v>
      </c>
      <c r="K129" s="297">
        <f t="shared" si="800"/>
        <v>0</v>
      </c>
      <c r="L129" s="260">
        <f t="shared" si="801"/>
        <v>0</v>
      </c>
      <c r="M129" s="296">
        <f t="shared" si="802"/>
        <v>0</v>
      </c>
      <c r="N129" s="297">
        <f t="shared" si="803"/>
        <v>0</v>
      </c>
      <c r="O129" s="260">
        <f t="shared" si="804"/>
        <v>0</v>
      </c>
      <c r="P129" s="296">
        <f t="shared" si="773"/>
        <v>0</v>
      </c>
      <c r="Q129" s="297">
        <f t="shared" si="774"/>
        <v>0</v>
      </c>
      <c r="R129" s="260">
        <f t="shared" si="805"/>
        <v>0</v>
      </c>
      <c r="S129" s="296">
        <f t="shared" si="775"/>
        <v>0</v>
      </c>
      <c r="T129" s="297">
        <f t="shared" si="776"/>
        <v>0</v>
      </c>
      <c r="U129" s="260">
        <f t="shared" si="806"/>
        <v>0</v>
      </c>
      <c r="V129" s="296">
        <f t="shared" si="777"/>
        <v>0</v>
      </c>
      <c r="W129" s="297">
        <f t="shared" si="778"/>
        <v>0</v>
      </c>
      <c r="X129" s="260">
        <f t="shared" si="807"/>
        <v>0</v>
      </c>
      <c r="Y129" s="296">
        <f t="shared" si="808"/>
        <v>0</v>
      </c>
      <c r="Z129" s="297">
        <f t="shared" si="809"/>
        <v>0</v>
      </c>
      <c r="AA129" s="260">
        <f t="shared" si="810"/>
        <v>0</v>
      </c>
      <c r="AB129" s="296">
        <f t="shared" si="811"/>
        <v>0</v>
      </c>
      <c r="AC129" s="297">
        <f t="shared" si="812"/>
        <v>0</v>
      </c>
      <c r="AD129" s="260">
        <f t="shared" si="813"/>
        <v>0</v>
      </c>
      <c r="AE129" s="296">
        <f t="shared" si="779"/>
        <v>0</v>
      </c>
      <c r="AF129" s="297">
        <f t="shared" si="780"/>
        <v>0</v>
      </c>
      <c r="AG129" s="260">
        <f t="shared" si="814"/>
        <v>0</v>
      </c>
      <c r="AH129" s="296">
        <f t="shared" si="781"/>
        <v>0</v>
      </c>
      <c r="AI129" s="297">
        <f t="shared" si="782"/>
        <v>0</v>
      </c>
      <c r="AJ129" s="260">
        <f t="shared" si="815"/>
        <v>0</v>
      </c>
      <c r="AK129" s="296">
        <f t="shared" si="783"/>
        <v>0</v>
      </c>
      <c r="AL129" s="297">
        <f t="shared" si="784"/>
        <v>0</v>
      </c>
      <c r="AM129" s="260">
        <f t="shared" si="816"/>
        <v>0</v>
      </c>
      <c r="AN129" s="296">
        <f t="shared" si="817"/>
        <v>0</v>
      </c>
      <c r="AO129" s="297">
        <f t="shared" si="818"/>
        <v>0</v>
      </c>
      <c r="AP129" s="260">
        <f t="shared" si="819"/>
        <v>0</v>
      </c>
      <c r="AQ129" s="296">
        <f t="shared" si="820"/>
        <v>0</v>
      </c>
      <c r="AR129" s="297">
        <f t="shared" si="821"/>
        <v>0</v>
      </c>
      <c r="AS129" s="260">
        <f t="shared" si="822"/>
        <v>0</v>
      </c>
      <c r="AT129" s="296">
        <f t="shared" si="785"/>
        <v>0</v>
      </c>
      <c r="AU129" s="297">
        <f t="shared" si="786"/>
        <v>0</v>
      </c>
      <c r="AV129" s="260">
        <f t="shared" si="823"/>
        <v>0</v>
      </c>
      <c r="AW129" s="296">
        <f t="shared" si="787"/>
        <v>0</v>
      </c>
      <c r="AX129" s="297">
        <f t="shared" si="788"/>
        <v>0</v>
      </c>
      <c r="AY129" s="260">
        <f t="shared" si="824"/>
        <v>0</v>
      </c>
      <c r="AZ129" s="296">
        <f t="shared" si="789"/>
        <v>0</v>
      </c>
      <c r="BA129" s="297">
        <f t="shared" si="790"/>
        <v>0</v>
      </c>
      <c r="BB129" s="260">
        <f t="shared" si="825"/>
        <v>0</v>
      </c>
      <c r="BC129" s="296">
        <f t="shared" si="826"/>
        <v>0</v>
      </c>
      <c r="BD129" s="297">
        <f t="shared" si="827"/>
        <v>0</v>
      </c>
      <c r="BE129" s="260">
        <f t="shared" si="828"/>
        <v>0</v>
      </c>
      <c r="BF129" s="296">
        <f t="shared" si="829"/>
        <v>0</v>
      </c>
      <c r="BG129" s="297">
        <f t="shared" si="830"/>
        <v>0</v>
      </c>
      <c r="BH129" s="260">
        <f t="shared" si="831"/>
        <v>0</v>
      </c>
      <c r="BI129" s="296">
        <f t="shared" si="791"/>
        <v>0</v>
      </c>
      <c r="BJ129" s="297">
        <f t="shared" si="792"/>
        <v>0</v>
      </c>
      <c r="BK129" s="260">
        <f t="shared" si="832"/>
        <v>0</v>
      </c>
      <c r="BL129" s="296">
        <f t="shared" si="793"/>
        <v>0</v>
      </c>
      <c r="BM129" s="297">
        <f t="shared" si="794"/>
        <v>0</v>
      </c>
      <c r="BN129" s="260">
        <f t="shared" si="833"/>
        <v>0</v>
      </c>
      <c r="BO129" s="296">
        <f t="shared" si="795"/>
        <v>0</v>
      </c>
      <c r="BP129" s="297">
        <f t="shared" si="796"/>
        <v>0</v>
      </c>
      <c r="BQ129" s="260">
        <f t="shared" si="834"/>
        <v>0</v>
      </c>
    </row>
    <row r="130" spans="1:69">
      <c r="A130" s="780"/>
      <c r="B130" s="782"/>
      <c r="C130" s="288" t="s">
        <v>168</v>
      </c>
      <c r="D130" s="289">
        <f t="shared" si="575"/>
        <v>0</v>
      </c>
      <c r="E130" s="290">
        <f t="shared" si="159"/>
        <v>0</v>
      </c>
      <c r="F130" s="291">
        <f t="shared" si="576"/>
        <v>0</v>
      </c>
      <c r="G130" s="296">
        <f t="shared" si="797"/>
        <v>0</v>
      </c>
      <c r="H130" s="297">
        <f t="shared" si="772"/>
        <v>0</v>
      </c>
      <c r="I130" s="260">
        <f t="shared" si="798"/>
        <v>0</v>
      </c>
      <c r="J130" s="296">
        <f t="shared" si="799"/>
        <v>0</v>
      </c>
      <c r="K130" s="297">
        <f t="shared" si="800"/>
        <v>0</v>
      </c>
      <c r="L130" s="260">
        <f t="shared" si="801"/>
        <v>0</v>
      </c>
      <c r="M130" s="296">
        <f t="shared" si="802"/>
        <v>0</v>
      </c>
      <c r="N130" s="297">
        <f t="shared" si="803"/>
        <v>0</v>
      </c>
      <c r="O130" s="260">
        <f t="shared" si="804"/>
        <v>0</v>
      </c>
      <c r="P130" s="296">
        <f t="shared" si="773"/>
        <v>0</v>
      </c>
      <c r="Q130" s="297">
        <f t="shared" si="774"/>
        <v>0</v>
      </c>
      <c r="R130" s="260">
        <f t="shared" si="805"/>
        <v>0</v>
      </c>
      <c r="S130" s="296">
        <f t="shared" si="775"/>
        <v>0</v>
      </c>
      <c r="T130" s="297">
        <f t="shared" si="776"/>
        <v>0</v>
      </c>
      <c r="U130" s="260">
        <f t="shared" si="806"/>
        <v>0</v>
      </c>
      <c r="V130" s="296">
        <f t="shared" si="777"/>
        <v>0</v>
      </c>
      <c r="W130" s="297">
        <f t="shared" si="778"/>
        <v>0</v>
      </c>
      <c r="X130" s="260">
        <f t="shared" si="807"/>
        <v>0</v>
      </c>
      <c r="Y130" s="296">
        <f t="shared" si="808"/>
        <v>0</v>
      </c>
      <c r="Z130" s="297">
        <f t="shared" si="809"/>
        <v>0</v>
      </c>
      <c r="AA130" s="260">
        <f t="shared" si="810"/>
        <v>0</v>
      </c>
      <c r="AB130" s="296">
        <f t="shared" si="811"/>
        <v>0</v>
      </c>
      <c r="AC130" s="297">
        <f t="shared" si="812"/>
        <v>0</v>
      </c>
      <c r="AD130" s="260">
        <f t="shared" si="813"/>
        <v>0</v>
      </c>
      <c r="AE130" s="296">
        <f t="shared" si="779"/>
        <v>0</v>
      </c>
      <c r="AF130" s="297">
        <f t="shared" si="780"/>
        <v>0</v>
      </c>
      <c r="AG130" s="260">
        <f t="shared" si="814"/>
        <v>0</v>
      </c>
      <c r="AH130" s="296">
        <f t="shared" si="781"/>
        <v>0</v>
      </c>
      <c r="AI130" s="297">
        <f t="shared" si="782"/>
        <v>0</v>
      </c>
      <c r="AJ130" s="260">
        <f t="shared" si="815"/>
        <v>0</v>
      </c>
      <c r="AK130" s="296">
        <f t="shared" si="783"/>
        <v>0</v>
      </c>
      <c r="AL130" s="297">
        <f t="shared" si="784"/>
        <v>0</v>
      </c>
      <c r="AM130" s="260">
        <f t="shared" si="816"/>
        <v>0</v>
      </c>
      <c r="AN130" s="296">
        <f t="shared" si="817"/>
        <v>0</v>
      </c>
      <c r="AO130" s="297">
        <f t="shared" si="818"/>
        <v>0</v>
      </c>
      <c r="AP130" s="260">
        <f t="shared" si="819"/>
        <v>0</v>
      </c>
      <c r="AQ130" s="296">
        <f t="shared" si="820"/>
        <v>0</v>
      </c>
      <c r="AR130" s="297">
        <f t="shared" si="821"/>
        <v>0</v>
      </c>
      <c r="AS130" s="260">
        <f t="shared" si="822"/>
        <v>0</v>
      </c>
      <c r="AT130" s="296">
        <f t="shared" si="785"/>
        <v>0</v>
      </c>
      <c r="AU130" s="297">
        <f t="shared" si="786"/>
        <v>0</v>
      </c>
      <c r="AV130" s="260">
        <f t="shared" si="823"/>
        <v>0</v>
      </c>
      <c r="AW130" s="296">
        <f t="shared" si="787"/>
        <v>0</v>
      </c>
      <c r="AX130" s="297">
        <f t="shared" si="788"/>
        <v>0</v>
      </c>
      <c r="AY130" s="260">
        <f t="shared" si="824"/>
        <v>0</v>
      </c>
      <c r="AZ130" s="296">
        <f t="shared" si="789"/>
        <v>0</v>
      </c>
      <c r="BA130" s="297">
        <f t="shared" si="790"/>
        <v>0</v>
      </c>
      <c r="BB130" s="260">
        <f t="shared" si="825"/>
        <v>0</v>
      </c>
      <c r="BC130" s="296">
        <f t="shared" si="826"/>
        <v>0</v>
      </c>
      <c r="BD130" s="297">
        <f t="shared" si="827"/>
        <v>0</v>
      </c>
      <c r="BE130" s="260">
        <f t="shared" si="828"/>
        <v>0</v>
      </c>
      <c r="BF130" s="296">
        <f t="shared" si="829"/>
        <v>0</v>
      </c>
      <c r="BG130" s="297">
        <f t="shared" si="830"/>
        <v>0</v>
      </c>
      <c r="BH130" s="260">
        <f t="shared" si="831"/>
        <v>0</v>
      </c>
      <c r="BI130" s="296">
        <f t="shared" si="791"/>
        <v>0</v>
      </c>
      <c r="BJ130" s="297">
        <f t="shared" si="792"/>
        <v>0</v>
      </c>
      <c r="BK130" s="260">
        <f t="shared" si="832"/>
        <v>0</v>
      </c>
      <c r="BL130" s="296">
        <f t="shared" si="793"/>
        <v>0</v>
      </c>
      <c r="BM130" s="297">
        <f t="shared" si="794"/>
        <v>0</v>
      </c>
      <c r="BN130" s="260">
        <f t="shared" si="833"/>
        <v>0</v>
      </c>
      <c r="BO130" s="296">
        <f t="shared" si="795"/>
        <v>0</v>
      </c>
      <c r="BP130" s="297">
        <f t="shared" si="796"/>
        <v>0</v>
      </c>
      <c r="BQ130" s="260">
        <f t="shared" si="834"/>
        <v>0</v>
      </c>
    </row>
    <row r="131" spans="1:69">
      <c r="A131" s="780"/>
      <c r="B131" s="782"/>
      <c r="C131" s="288" t="s">
        <v>169</v>
      </c>
      <c r="D131" s="289">
        <f t="shared" si="575"/>
        <v>0</v>
      </c>
      <c r="E131" s="290">
        <f t="shared" si="159"/>
        <v>0</v>
      </c>
      <c r="F131" s="291">
        <f t="shared" si="576"/>
        <v>0</v>
      </c>
      <c r="G131" s="296">
        <f t="shared" si="797"/>
        <v>0</v>
      </c>
      <c r="H131" s="297">
        <f t="shared" si="772"/>
        <v>0</v>
      </c>
      <c r="I131" s="260">
        <f t="shared" si="798"/>
        <v>0</v>
      </c>
      <c r="J131" s="296">
        <f t="shared" si="799"/>
        <v>0</v>
      </c>
      <c r="K131" s="297">
        <f t="shared" si="800"/>
        <v>0</v>
      </c>
      <c r="L131" s="260">
        <f t="shared" si="801"/>
        <v>0</v>
      </c>
      <c r="M131" s="296">
        <f t="shared" si="802"/>
        <v>0</v>
      </c>
      <c r="N131" s="297">
        <f t="shared" si="803"/>
        <v>0</v>
      </c>
      <c r="O131" s="260">
        <f t="shared" si="804"/>
        <v>0</v>
      </c>
      <c r="P131" s="296">
        <f t="shared" si="773"/>
        <v>0</v>
      </c>
      <c r="Q131" s="297">
        <f t="shared" si="774"/>
        <v>0</v>
      </c>
      <c r="R131" s="260">
        <f t="shared" si="805"/>
        <v>0</v>
      </c>
      <c r="S131" s="296">
        <f t="shared" si="775"/>
        <v>0</v>
      </c>
      <c r="T131" s="297">
        <f t="shared" si="776"/>
        <v>0</v>
      </c>
      <c r="U131" s="260">
        <f t="shared" si="806"/>
        <v>0</v>
      </c>
      <c r="V131" s="296">
        <f t="shared" si="777"/>
        <v>0</v>
      </c>
      <c r="W131" s="297">
        <f t="shared" si="778"/>
        <v>0</v>
      </c>
      <c r="X131" s="260">
        <f t="shared" si="807"/>
        <v>0</v>
      </c>
      <c r="Y131" s="296">
        <f t="shared" si="808"/>
        <v>0</v>
      </c>
      <c r="Z131" s="297">
        <f t="shared" si="809"/>
        <v>0</v>
      </c>
      <c r="AA131" s="260">
        <f t="shared" si="810"/>
        <v>0</v>
      </c>
      <c r="AB131" s="296">
        <f t="shared" si="811"/>
        <v>0</v>
      </c>
      <c r="AC131" s="297">
        <f t="shared" si="812"/>
        <v>0</v>
      </c>
      <c r="AD131" s="260">
        <f t="shared" si="813"/>
        <v>0</v>
      </c>
      <c r="AE131" s="296">
        <f t="shared" si="779"/>
        <v>0</v>
      </c>
      <c r="AF131" s="297">
        <f t="shared" si="780"/>
        <v>0</v>
      </c>
      <c r="AG131" s="260">
        <f t="shared" si="814"/>
        <v>0</v>
      </c>
      <c r="AH131" s="296">
        <f t="shared" si="781"/>
        <v>0</v>
      </c>
      <c r="AI131" s="297">
        <f t="shared" si="782"/>
        <v>0</v>
      </c>
      <c r="AJ131" s="260">
        <f t="shared" si="815"/>
        <v>0</v>
      </c>
      <c r="AK131" s="296">
        <f t="shared" si="783"/>
        <v>0</v>
      </c>
      <c r="AL131" s="297">
        <f t="shared" si="784"/>
        <v>0</v>
      </c>
      <c r="AM131" s="260">
        <f t="shared" si="816"/>
        <v>0</v>
      </c>
      <c r="AN131" s="296">
        <f t="shared" si="817"/>
        <v>0</v>
      </c>
      <c r="AO131" s="297">
        <f t="shared" si="818"/>
        <v>0</v>
      </c>
      <c r="AP131" s="260">
        <f t="shared" si="819"/>
        <v>0</v>
      </c>
      <c r="AQ131" s="296">
        <f t="shared" si="820"/>
        <v>0</v>
      </c>
      <c r="AR131" s="297">
        <f t="shared" si="821"/>
        <v>0</v>
      </c>
      <c r="AS131" s="260">
        <f t="shared" si="822"/>
        <v>0</v>
      </c>
      <c r="AT131" s="296">
        <f t="shared" si="785"/>
        <v>0</v>
      </c>
      <c r="AU131" s="297">
        <f t="shared" si="786"/>
        <v>0</v>
      </c>
      <c r="AV131" s="260">
        <f t="shared" si="823"/>
        <v>0</v>
      </c>
      <c r="AW131" s="296">
        <f t="shared" si="787"/>
        <v>0</v>
      </c>
      <c r="AX131" s="297">
        <f t="shared" si="788"/>
        <v>0</v>
      </c>
      <c r="AY131" s="260">
        <f t="shared" si="824"/>
        <v>0</v>
      </c>
      <c r="AZ131" s="296">
        <f t="shared" si="789"/>
        <v>0</v>
      </c>
      <c r="BA131" s="297">
        <f t="shared" si="790"/>
        <v>0</v>
      </c>
      <c r="BB131" s="260">
        <f t="shared" si="825"/>
        <v>0</v>
      </c>
      <c r="BC131" s="296">
        <f t="shared" si="826"/>
        <v>0</v>
      </c>
      <c r="BD131" s="297">
        <f t="shared" si="827"/>
        <v>0</v>
      </c>
      <c r="BE131" s="260">
        <f t="shared" si="828"/>
        <v>0</v>
      </c>
      <c r="BF131" s="296">
        <f t="shared" si="829"/>
        <v>0</v>
      </c>
      <c r="BG131" s="297">
        <f t="shared" si="830"/>
        <v>0</v>
      </c>
      <c r="BH131" s="260">
        <f t="shared" si="831"/>
        <v>0</v>
      </c>
      <c r="BI131" s="296">
        <f t="shared" si="791"/>
        <v>0</v>
      </c>
      <c r="BJ131" s="297">
        <f t="shared" si="792"/>
        <v>0</v>
      </c>
      <c r="BK131" s="260">
        <f t="shared" si="832"/>
        <v>0</v>
      </c>
      <c r="BL131" s="296">
        <f t="shared" si="793"/>
        <v>0</v>
      </c>
      <c r="BM131" s="297">
        <f t="shared" si="794"/>
        <v>0</v>
      </c>
      <c r="BN131" s="260">
        <f t="shared" si="833"/>
        <v>0</v>
      </c>
      <c r="BO131" s="296">
        <f t="shared" si="795"/>
        <v>0</v>
      </c>
      <c r="BP131" s="297">
        <f t="shared" si="796"/>
        <v>0</v>
      </c>
      <c r="BQ131" s="260">
        <f t="shared" si="834"/>
        <v>0</v>
      </c>
    </row>
    <row r="132" spans="1:69">
      <c r="A132" s="780"/>
      <c r="B132" s="782"/>
      <c r="C132" s="288" t="s">
        <v>170</v>
      </c>
      <c r="D132" s="289">
        <f t="shared" ref="D132:D135" si="835">SUM(G132,J132,M132,P132,S132,V132,Y132,AB132,AE132,AH132,AK132,AN132,AQ132,AT132,AW132,AZ132,AZ132,BC132,BF132,BI132,BL132,BO132)</f>
        <v>0</v>
      </c>
      <c r="E132" s="290">
        <f t="shared" si="159"/>
        <v>0</v>
      </c>
      <c r="F132" s="291">
        <f t="shared" si="576"/>
        <v>0</v>
      </c>
      <c r="G132" s="296">
        <f t="shared" si="797"/>
        <v>0</v>
      </c>
      <c r="H132" s="297">
        <f t="shared" si="772"/>
        <v>0</v>
      </c>
      <c r="I132" s="260">
        <f t="shared" si="798"/>
        <v>0</v>
      </c>
      <c r="J132" s="296">
        <f t="shared" si="799"/>
        <v>0</v>
      </c>
      <c r="K132" s="297">
        <f t="shared" si="800"/>
        <v>0</v>
      </c>
      <c r="L132" s="260">
        <f t="shared" si="801"/>
        <v>0</v>
      </c>
      <c r="M132" s="296">
        <f t="shared" si="802"/>
        <v>0</v>
      </c>
      <c r="N132" s="297">
        <f t="shared" si="803"/>
        <v>0</v>
      </c>
      <c r="O132" s="260">
        <f t="shared" si="804"/>
        <v>0</v>
      </c>
      <c r="P132" s="296">
        <f t="shared" si="773"/>
        <v>0</v>
      </c>
      <c r="Q132" s="297">
        <f t="shared" si="774"/>
        <v>0</v>
      </c>
      <c r="R132" s="260">
        <f t="shared" si="805"/>
        <v>0</v>
      </c>
      <c r="S132" s="296">
        <f t="shared" si="775"/>
        <v>0</v>
      </c>
      <c r="T132" s="297">
        <f t="shared" si="776"/>
        <v>0</v>
      </c>
      <c r="U132" s="260">
        <f t="shared" si="806"/>
        <v>0</v>
      </c>
      <c r="V132" s="296">
        <f t="shared" si="777"/>
        <v>0</v>
      </c>
      <c r="W132" s="297">
        <f t="shared" si="778"/>
        <v>0</v>
      </c>
      <c r="X132" s="260">
        <f t="shared" si="807"/>
        <v>0</v>
      </c>
      <c r="Y132" s="296">
        <f t="shared" si="808"/>
        <v>0</v>
      </c>
      <c r="Z132" s="297">
        <f t="shared" si="809"/>
        <v>0</v>
      </c>
      <c r="AA132" s="260">
        <f t="shared" si="810"/>
        <v>0</v>
      </c>
      <c r="AB132" s="296">
        <f t="shared" si="811"/>
        <v>0</v>
      </c>
      <c r="AC132" s="297">
        <f t="shared" si="812"/>
        <v>0</v>
      </c>
      <c r="AD132" s="260">
        <f t="shared" si="813"/>
        <v>0</v>
      </c>
      <c r="AE132" s="296">
        <f t="shared" si="779"/>
        <v>0</v>
      </c>
      <c r="AF132" s="297">
        <f t="shared" si="780"/>
        <v>0</v>
      </c>
      <c r="AG132" s="260">
        <f t="shared" si="814"/>
        <v>0</v>
      </c>
      <c r="AH132" s="296">
        <f t="shared" si="781"/>
        <v>0</v>
      </c>
      <c r="AI132" s="297">
        <f t="shared" si="782"/>
        <v>0</v>
      </c>
      <c r="AJ132" s="260">
        <f t="shared" si="815"/>
        <v>0</v>
      </c>
      <c r="AK132" s="296">
        <f t="shared" si="783"/>
        <v>0</v>
      </c>
      <c r="AL132" s="297">
        <f t="shared" si="784"/>
        <v>0</v>
      </c>
      <c r="AM132" s="260">
        <f t="shared" si="816"/>
        <v>0</v>
      </c>
      <c r="AN132" s="296">
        <f t="shared" si="817"/>
        <v>0</v>
      </c>
      <c r="AO132" s="297">
        <f t="shared" si="818"/>
        <v>0</v>
      </c>
      <c r="AP132" s="260">
        <f t="shared" si="819"/>
        <v>0</v>
      </c>
      <c r="AQ132" s="296">
        <f t="shared" si="820"/>
        <v>0</v>
      </c>
      <c r="AR132" s="297">
        <f t="shared" si="821"/>
        <v>0</v>
      </c>
      <c r="AS132" s="260">
        <f t="shared" si="822"/>
        <v>0</v>
      </c>
      <c r="AT132" s="296">
        <f t="shared" si="785"/>
        <v>0</v>
      </c>
      <c r="AU132" s="297">
        <f t="shared" si="786"/>
        <v>0</v>
      </c>
      <c r="AV132" s="260">
        <f t="shared" si="823"/>
        <v>0</v>
      </c>
      <c r="AW132" s="296">
        <f t="shared" si="787"/>
        <v>0</v>
      </c>
      <c r="AX132" s="297">
        <f t="shared" si="788"/>
        <v>0</v>
      </c>
      <c r="AY132" s="260">
        <f t="shared" si="824"/>
        <v>0</v>
      </c>
      <c r="AZ132" s="296">
        <f t="shared" si="789"/>
        <v>0</v>
      </c>
      <c r="BA132" s="297">
        <f t="shared" si="790"/>
        <v>0</v>
      </c>
      <c r="BB132" s="260">
        <f t="shared" si="825"/>
        <v>0</v>
      </c>
      <c r="BC132" s="296">
        <f t="shared" si="826"/>
        <v>0</v>
      </c>
      <c r="BD132" s="297">
        <f t="shared" si="827"/>
        <v>0</v>
      </c>
      <c r="BE132" s="260">
        <f t="shared" si="828"/>
        <v>0</v>
      </c>
      <c r="BF132" s="296">
        <f t="shared" si="829"/>
        <v>0</v>
      </c>
      <c r="BG132" s="297">
        <f t="shared" si="830"/>
        <v>0</v>
      </c>
      <c r="BH132" s="260">
        <f t="shared" si="831"/>
        <v>0</v>
      </c>
      <c r="BI132" s="296">
        <f t="shared" si="791"/>
        <v>0</v>
      </c>
      <c r="BJ132" s="297">
        <f t="shared" si="792"/>
        <v>0</v>
      </c>
      <c r="BK132" s="260">
        <f t="shared" si="832"/>
        <v>0</v>
      </c>
      <c r="BL132" s="296">
        <f t="shared" si="793"/>
        <v>0</v>
      </c>
      <c r="BM132" s="297">
        <f t="shared" si="794"/>
        <v>0</v>
      </c>
      <c r="BN132" s="260">
        <f t="shared" si="833"/>
        <v>0</v>
      </c>
      <c r="BO132" s="296">
        <f t="shared" si="795"/>
        <v>0</v>
      </c>
      <c r="BP132" s="297">
        <f t="shared" si="796"/>
        <v>0</v>
      </c>
      <c r="BQ132" s="260">
        <f t="shared" si="834"/>
        <v>0</v>
      </c>
    </row>
    <row r="133" spans="1:69">
      <c r="A133" s="780"/>
      <c r="B133" s="782"/>
      <c r="C133" s="288" t="s">
        <v>171</v>
      </c>
      <c r="D133" s="289">
        <f t="shared" si="835"/>
        <v>0</v>
      </c>
      <c r="E133" s="290">
        <f t="shared" si="159"/>
        <v>0</v>
      </c>
      <c r="F133" s="291">
        <f t="shared" si="576"/>
        <v>0</v>
      </c>
      <c r="G133" s="296">
        <f t="shared" si="797"/>
        <v>0</v>
      </c>
      <c r="H133" s="297">
        <f t="shared" si="772"/>
        <v>0</v>
      </c>
      <c r="I133" s="260">
        <f t="shared" si="798"/>
        <v>0</v>
      </c>
      <c r="J133" s="296">
        <f t="shared" si="799"/>
        <v>0</v>
      </c>
      <c r="K133" s="297">
        <f t="shared" si="800"/>
        <v>0</v>
      </c>
      <c r="L133" s="260">
        <f t="shared" si="801"/>
        <v>0</v>
      </c>
      <c r="M133" s="296">
        <f t="shared" si="802"/>
        <v>0</v>
      </c>
      <c r="N133" s="297">
        <f t="shared" si="803"/>
        <v>0</v>
      </c>
      <c r="O133" s="260">
        <f t="shared" si="804"/>
        <v>0</v>
      </c>
      <c r="P133" s="296">
        <f t="shared" si="773"/>
        <v>0</v>
      </c>
      <c r="Q133" s="297">
        <f t="shared" si="774"/>
        <v>0</v>
      </c>
      <c r="R133" s="260">
        <f t="shared" si="805"/>
        <v>0</v>
      </c>
      <c r="S133" s="296">
        <f t="shared" si="775"/>
        <v>0</v>
      </c>
      <c r="T133" s="297">
        <f t="shared" si="776"/>
        <v>0</v>
      </c>
      <c r="U133" s="260">
        <f t="shared" si="806"/>
        <v>0</v>
      </c>
      <c r="V133" s="296">
        <f t="shared" si="777"/>
        <v>0</v>
      </c>
      <c r="W133" s="297">
        <f t="shared" si="778"/>
        <v>0</v>
      </c>
      <c r="X133" s="260">
        <f t="shared" si="807"/>
        <v>0</v>
      </c>
      <c r="Y133" s="296">
        <f t="shared" si="808"/>
        <v>0</v>
      </c>
      <c r="Z133" s="297">
        <f t="shared" si="809"/>
        <v>0</v>
      </c>
      <c r="AA133" s="260">
        <f t="shared" si="810"/>
        <v>0</v>
      </c>
      <c r="AB133" s="296">
        <f t="shared" si="811"/>
        <v>0</v>
      </c>
      <c r="AC133" s="297">
        <f t="shared" si="812"/>
        <v>0</v>
      </c>
      <c r="AD133" s="260">
        <f t="shared" si="813"/>
        <v>0</v>
      </c>
      <c r="AE133" s="296">
        <f t="shared" si="779"/>
        <v>0</v>
      </c>
      <c r="AF133" s="297">
        <f t="shared" si="780"/>
        <v>0</v>
      </c>
      <c r="AG133" s="260">
        <f t="shared" si="814"/>
        <v>0</v>
      </c>
      <c r="AH133" s="296">
        <f t="shared" si="781"/>
        <v>0</v>
      </c>
      <c r="AI133" s="297">
        <f t="shared" si="782"/>
        <v>0</v>
      </c>
      <c r="AJ133" s="260">
        <f t="shared" si="815"/>
        <v>0</v>
      </c>
      <c r="AK133" s="296">
        <f t="shared" si="783"/>
        <v>0</v>
      </c>
      <c r="AL133" s="297">
        <f t="shared" si="784"/>
        <v>0</v>
      </c>
      <c r="AM133" s="260">
        <f t="shared" si="816"/>
        <v>0</v>
      </c>
      <c r="AN133" s="296">
        <f t="shared" si="817"/>
        <v>0</v>
      </c>
      <c r="AO133" s="297">
        <f t="shared" si="818"/>
        <v>0</v>
      </c>
      <c r="AP133" s="260">
        <f t="shared" si="819"/>
        <v>0</v>
      </c>
      <c r="AQ133" s="296">
        <f t="shared" si="820"/>
        <v>0</v>
      </c>
      <c r="AR133" s="297">
        <f t="shared" si="821"/>
        <v>0</v>
      </c>
      <c r="AS133" s="260">
        <f t="shared" si="822"/>
        <v>0</v>
      </c>
      <c r="AT133" s="296">
        <f t="shared" si="785"/>
        <v>0</v>
      </c>
      <c r="AU133" s="297">
        <f t="shared" si="786"/>
        <v>0</v>
      </c>
      <c r="AV133" s="260">
        <f t="shared" si="823"/>
        <v>0</v>
      </c>
      <c r="AW133" s="296">
        <f t="shared" si="787"/>
        <v>0</v>
      </c>
      <c r="AX133" s="297">
        <f t="shared" si="788"/>
        <v>0</v>
      </c>
      <c r="AY133" s="260">
        <f t="shared" si="824"/>
        <v>0</v>
      </c>
      <c r="AZ133" s="296">
        <f t="shared" si="789"/>
        <v>0</v>
      </c>
      <c r="BA133" s="297">
        <f t="shared" si="790"/>
        <v>0</v>
      </c>
      <c r="BB133" s="260">
        <f t="shared" si="825"/>
        <v>0</v>
      </c>
      <c r="BC133" s="296">
        <f t="shared" si="826"/>
        <v>0</v>
      </c>
      <c r="BD133" s="297">
        <f t="shared" si="827"/>
        <v>0</v>
      </c>
      <c r="BE133" s="260">
        <f t="shared" si="828"/>
        <v>0</v>
      </c>
      <c r="BF133" s="296">
        <f t="shared" si="829"/>
        <v>0</v>
      </c>
      <c r="BG133" s="297">
        <f t="shared" si="830"/>
        <v>0</v>
      </c>
      <c r="BH133" s="260">
        <f t="shared" si="831"/>
        <v>0</v>
      </c>
      <c r="BI133" s="296">
        <f t="shared" si="791"/>
        <v>0</v>
      </c>
      <c r="BJ133" s="297">
        <f t="shared" si="792"/>
        <v>0</v>
      </c>
      <c r="BK133" s="260">
        <f t="shared" si="832"/>
        <v>0</v>
      </c>
      <c r="BL133" s="296">
        <f t="shared" si="793"/>
        <v>0</v>
      </c>
      <c r="BM133" s="297">
        <f t="shared" si="794"/>
        <v>0</v>
      </c>
      <c r="BN133" s="260">
        <f t="shared" si="833"/>
        <v>0</v>
      </c>
      <c r="BO133" s="296">
        <f t="shared" si="795"/>
        <v>0</v>
      </c>
      <c r="BP133" s="297">
        <f t="shared" si="796"/>
        <v>0</v>
      </c>
      <c r="BQ133" s="260">
        <f t="shared" si="834"/>
        <v>0</v>
      </c>
    </row>
    <row r="134" spans="1:69">
      <c r="A134" s="780"/>
      <c r="B134" s="782"/>
      <c r="C134" s="288" t="s">
        <v>172</v>
      </c>
      <c r="D134" s="289">
        <f t="shared" si="835"/>
        <v>0</v>
      </c>
      <c r="E134" s="290">
        <f t="shared" si="159"/>
        <v>0</v>
      </c>
      <c r="F134" s="291">
        <f t="shared" si="576"/>
        <v>0</v>
      </c>
      <c r="G134" s="296">
        <f t="shared" si="797"/>
        <v>0</v>
      </c>
      <c r="H134" s="297">
        <f t="shared" si="772"/>
        <v>0</v>
      </c>
      <c r="I134" s="260">
        <f t="shared" si="798"/>
        <v>0</v>
      </c>
      <c r="J134" s="296">
        <f t="shared" si="799"/>
        <v>0</v>
      </c>
      <c r="K134" s="297">
        <f t="shared" si="800"/>
        <v>0</v>
      </c>
      <c r="L134" s="260">
        <f t="shared" si="801"/>
        <v>0</v>
      </c>
      <c r="M134" s="296">
        <f t="shared" si="802"/>
        <v>0</v>
      </c>
      <c r="N134" s="297">
        <f t="shared" si="803"/>
        <v>0</v>
      </c>
      <c r="O134" s="260">
        <f t="shared" si="804"/>
        <v>0</v>
      </c>
      <c r="P134" s="296">
        <f t="shared" si="773"/>
        <v>0</v>
      </c>
      <c r="Q134" s="297">
        <f t="shared" si="774"/>
        <v>0</v>
      </c>
      <c r="R134" s="260">
        <f t="shared" si="805"/>
        <v>0</v>
      </c>
      <c r="S134" s="296">
        <f t="shared" si="775"/>
        <v>0</v>
      </c>
      <c r="T134" s="297">
        <f t="shared" si="776"/>
        <v>0</v>
      </c>
      <c r="U134" s="260">
        <f t="shared" si="806"/>
        <v>0</v>
      </c>
      <c r="V134" s="296">
        <f t="shared" si="777"/>
        <v>0</v>
      </c>
      <c r="W134" s="297">
        <f t="shared" si="778"/>
        <v>0</v>
      </c>
      <c r="X134" s="260">
        <f t="shared" si="807"/>
        <v>0</v>
      </c>
      <c r="Y134" s="296">
        <f t="shared" si="808"/>
        <v>0</v>
      </c>
      <c r="Z134" s="297">
        <f t="shared" si="809"/>
        <v>0</v>
      </c>
      <c r="AA134" s="260">
        <f t="shared" si="810"/>
        <v>0</v>
      </c>
      <c r="AB134" s="296">
        <f t="shared" si="811"/>
        <v>0</v>
      </c>
      <c r="AC134" s="297">
        <f t="shared" si="812"/>
        <v>0</v>
      </c>
      <c r="AD134" s="260">
        <f t="shared" si="813"/>
        <v>0</v>
      </c>
      <c r="AE134" s="296">
        <f t="shared" si="779"/>
        <v>0</v>
      </c>
      <c r="AF134" s="297">
        <f t="shared" si="780"/>
        <v>0</v>
      </c>
      <c r="AG134" s="260">
        <f t="shared" si="814"/>
        <v>0</v>
      </c>
      <c r="AH134" s="296">
        <f t="shared" si="781"/>
        <v>0</v>
      </c>
      <c r="AI134" s="297">
        <f t="shared" si="782"/>
        <v>0</v>
      </c>
      <c r="AJ134" s="260">
        <f t="shared" si="815"/>
        <v>0</v>
      </c>
      <c r="AK134" s="296">
        <f t="shared" si="783"/>
        <v>0</v>
      </c>
      <c r="AL134" s="297">
        <f t="shared" si="784"/>
        <v>0</v>
      </c>
      <c r="AM134" s="260">
        <f t="shared" si="816"/>
        <v>0</v>
      </c>
      <c r="AN134" s="296">
        <f t="shared" si="817"/>
        <v>0</v>
      </c>
      <c r="AO134" s="297">
        <f t="shared" si="818"/>
        <v>0</v>
      </c>
      <c r="AP134" s="260">
        <f t="shared" si="819"/>
        <v>0</v>
      </c>
      <c r="AQ134" s="296">
        <f t="shared" si="820"/>
        <v>0</v>
      </c>
      <c r="AR134" s="297">
        <f t="shared" si="821"/>
        <v>0</v>
      </c>
      <c r="AS134" s="260">
        <f t="shared" si="822"/>
        <v>0</v>
      </c>
      <c r="AT134" s="296">
        <f t="shared" si="785"/>
        <v>0</v>
      </c>
      <c r="AU134" s="297">
        <f t="shared" si="786"/>
        <v>0</v>
      </c>
      <c r="AV134" s="260">
        <f t="shared" si="823"/>
        <v>0</v>
      </c>
      <c r="AW134" s="296">
        <f t="shared" si="787"/>
        <v>0</v>
      </c>
      <c r="AX134" s="297">
        <f t="shared" si="788"/>
        <v>0</v>
      </c>
      <c r="AY134" s="260">
        <f t="shared" si="824"/>
        <v>0</v>
      </c>
      <c r="AZ134" s="296">
        <f t="shared" si="789"/>
        <v>0</v>
      </c>
      <c r="BA134" s="297">
        <f t="shared" si="790"/>
        <v>0</v>
      </c>
      <c r="BB134" s="260">
        <f t="shared" si="825"/>
        <v>0</v>
      </c>
      <c r="BC134" s="296">
        <f t="shared" si="826"/>
        <v>0</v>
      </c>
      <c r="BD134" s="297">
        <f t="shared" si="827"/>
        <v>0</v>
      </c>
      <c r="BE134" s="260">
        <f t="shared" si="828"/>
        <v>0</v>
      </c>
      <c r="BF134" s="296">
        <f t="shared" si="829"/>
        <v>0</v>
      </c>
      <c r="BG134" s="297">
        <f t="shared" si="830"/>
        <v>0</v>
      </c>
      <c r="BH134" s="260">
        <f t="shared" si="831"/>
        <v>0</v>
      </c>
      <c r="BI134" s="296">
        <f t="shared" si="791"/>
        <v>0</v>
      </c>
      <c r="BJ134" s="297">
        <f t="shared" si="792"/>
        <v>0</v>
      </c>
      <c r="BK134" s="260">
        <f t="shared" si="832"/>
        <v>0</v>
      </c>
      <c r="BL134" s="296">
        <f t="shared" si="793"/>
        <v>0</v>
      </c>
      <c r="BM134" s="297">
        <f t="shared" si="794"/>
        <v>0</v>
      </c>
      <c r="BN134" s="260">
        <f t="shared" si="833"/>
        <v>0</v>
      </c>
      <c r="BO134" s="296">
        <f t="shared" si="795"/>
        <v>0</v>
      </c>
      <c r="BP134" s="297">
        <f t="shared" si="796"/>
        <v>0</v>
      </c>
      <c r="BQ134" s="260">
        <f t="shared" si="834"/>
        <v>0</v>
      </c>
    </row>
    <row r="135" spans="1:69" ht="15.75" thickBot="1">
      <c r="A135" s="781"/>
      <c r="B135" s="783"/>
      <c r="C135" s="298" t="s">
        <v>173</v>
      </c>
      <c r="D135" s="299">
        <f t="shared" si="835"/>
        <v>0</v>
      </c>
      <c r="E135" s="300">
        <f t="shared" si="159"/>
        <v>0</v>
      </c>
      <c r="F135" s="301">
        <f t="shared" si="576"/>
        <v>0</v>
      </c>
      <c r="G135" s="302">
        <f t="shared" si="797"/>
        <v>0</v>
      </c>
      <c r="H135" s="303">
        <f t="shared" si="772"/>
        <v>0</v>
      </c>
      <c r="I135" s="265">
        <f t="shared" si="798"/>
        <v>0</v>
      </c>
      <c r="J135" s="302">
        <f t="shared" si="799"/>
        <v>0</v>
      </c>
      <c r="K135" s="303">
        <f t="shared" si="800"/>
        <v>0</v>
      </c>
      <c r="L135" s="265">
        <f t="shared" si="801"/>
        <v>0</v>
      </c>
      <c r="M135" s="302">
        <f t="shared" si="802"/>
        <v>0</v>
      </c>
      <c r="N135" s="303">
        <f t="shared" si="803"/>
        <v>0</v>
      </c>
      <c r="O135" s="265">
        <f t="shared" si="804"/>
        <v>0</v>
      </c>
      <c r="P135" s="302">
        <f t="shared" si="773"/>
        <v>0</v>
      </c>
      <c r="Q135" s="303">
        <f t="shared" si="774"/>
        <v>0</v>
      </c>
      <c r="R135" s="265">
        <f t="shared" si="805"/>
        <v>0</v>
      </c>
      <c r="S135" s="302">
        <f t="shared" si="775"/>
        <v>0</v>
      </c>
      <c r="T135" s="303">
        <f t="shared" si="776"/>
        <v>0</v>
      </c>
      <c r="U135" s="265">
        <f t="shared" si="806"/>
        <v>0</v>
      </c>
      <c r="V135" s="302">
        <f t="shared" si="777"/>
        <v>0</v>
      </c>
      <c r="W135" s="303">
        <f t="shared" si="778"/>
        <v>0</v>
      </c>
      <c r="X135" s="265">
        <f t="shared" si="807"/>
        <v>0</v>
      </c>
      <c r="Y135" s="302">
        <f t="shared" si="808"/>
        <v>0</v>
      </c>
      <c r="Z135" s="303">
        <f t="shared" si="809"/>
        <v>0</v>
      </c>
      <c r="AA135" s="265">
        <f t="shared" si="810"/>
        <v>0</v>
      </c>
      <c r="AB135" s="302">
        <f t="shared" si="811"/>
        <v>0</v>
      </c>
      <c r="AC135" s="303">
        <f t="shared" si="812"/>
        <v>0</v>
      </c>
      <c r="AD135" s="265">
        <f t="shared" si="813"/>
        <v>0</v>
      </c>
      <c r="AE135" s="302">
        <f t="shared" si="779"/>
        <v>0</v>
      </c>
      <c r="AF135" s="303">
        <f t="shared" si="780"/>
        <v>0</v>
      </c>
      <c r="AG135" s="265">
        <f t="shared" si="814"/>
        <v>0</v>
      </c>
      <c r="AH135" s="302">
        <f t="shared" si="781"/>
        <v>0</v>
      </c>
      <c r="AI135" s="303">
        <f t="shared" si="782"/>
        <v>0</v>
      </c>
      <c r="AJ135" s="265">
        <f t="shared" si="815"/>
        <v>0</v>
      </c>
      <c r="AK135" s="302">
        <f t="shared" si="783"/>
        <v>0</v>
      </c>
      <c r="AL135" s="303">
        <f t="shared" si="784"/>
        <v>0</v>
      </c>
      <c r="AM135" s="265">
        <f t="shared" si="816"/>
        <v>0</v>
      </c>
      <c r="AN135" s="302">
        <f t="shared" si="817"/>
        <v>0</v>
      </c>
      <c r="AO135" s="303">
        <f t="shared" si="818"/>
        <v>0</v>
      </c>
      <c r="AP135" s="265">
        <f t="shared" si="819"/>
        <v>0</v>
      </c>
      <c r="AQ135" s="302">
        <f t="shared" si="820"/>
        <v>0</v>
      </c>
      <c r="AR135" s="303">
        <f t="shared" si="821"/>
        <v>0</v>
      </c>
      <c r="AS135" s="265">
        <f t="shared" si="822"/>
        <v>0</v>
      </c>
      <c r="AT135" s="302">
        <f t="shared" si="785"/>
        <v>0</v>
      </c>
      <c r="AU135" s="303">
        <f t="shared" si="786"/>
        <v>0</v>
      </c>
      <c r="AV135" s="265">
        <f t="shared" si="823"/>
        <v>0</v>
      </c>
      <c r="AW135" s="302">
        <f t="shared" si="787"/>
        <v>0</v>
      </c>
      <c r="AX135" s="303">
        <f t="shared" si="788"/>
        <v>0</v>
      </c>
      <c r="AY135" s="265">
        <f t="shared" si="824"/>
        <v>0</v>
      </c>
      <c r="AZ135" s="302">
        <f t="shared" si="789"/>
        <v>0</v>
      </c>
      <c r="BA135" s="303">
        <f t="shared" si="790"/>
        <v>0</v>
      </c>
      <c r="BB135" s="265">
        <f t="shared" si="825"/>
        <v>0</v>
      </c>
      <c r="BC135" s="302">
        <f t="shared" si="826"/>
        <v>0</v>
      </c>
      <c r="BD135" s="303">
        <f t="shared" si="827"/>
        <v>0</v>
      </c>
      <c r="BE135" s="265">
        <f t="shared" si="828"/>
        <v>0</v>
      </c>
      <c r="BF135" s="302">
        <f t="shared" si="829"/>
        <v>0</v>
      </c>
      <c r="BG135" s="303">
        <f t="shared" si="830"/>
        <v>0</v>
      </c>
      <c r="BH135" s="265">
        <f t="shared" si="831"/>
        <v>0</v>
      </c>
      <c r="BI135" s="302">
        <f t="shared" si="791"/>
        <v>0</v>
      </c>
      <c r="BJ135" s="303">
        <f t="shared" si="792"/>
        <v>0</v>
      </c>
      <c r="BK135" s="265">
        <f t="shared" si="832"/>
        <v>0</v>
      </c>
      <c r="BL135" s="302">
        <f t="shared" si="793"/>
        <v>0</v>
      </c>
      <c r="BM135" s="303">
        <f t="shared" si="794"/>
        <v>0</v>
      </c>
      <c r="BN135" s="265">
        <f t="shared" si="833"/>
        <v>0</v>
      </c>
      <c r="BO135" s="302">
        <f t="shared" si="795"/>
        <v>0</v>
      </c>
      <c r="BP135" s="303">
        <f t="shared" si="796"/>
        <v>0</v>
      </c>
      <c r="BQ135" s="265">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zoomScale="150" zoomScaleNormal="150" workbookViewId="0">
      <selection activeCell="L13" sqref="L13"/>
    </sheetView>
  </sheetViews>
  <sheetFormatPr defaultColWidth="8.85546875" defaultRowHeight="12.75"/>
  <cols>
    <col min="1" max="1" width="8.85546875" style="409"/>
    <col min="2" max="2" width="39.85546875" style="409" customWidth="1"/>
    <col min="3" max="13" width="10.140625" style="409" customWidth="1"/>
    <col min="14" max="14" width="11" style="409" customWidth="1"/>
    <col min="15" max="15" width="15.28515625" style="409" customWidth="1"/>
    <col min="16" max="16384" width="8.85546875" style="409"/>
  </cols>
  <sheetData>
    <row r="1" spans="1:15">
      <c r="J1" s="507">
        <f>SUM(J3:J23)</f>
        <v>34624</v>
      </c>
      <c r="O1" s="507">
        <f>EXTERNE_POZICIE!K1</f>
        <v>34626</v>
      </c>
    </row>
    <row r="2" spans="1:15" s="490" customFormat="1" ht="38.25">
      <c r="A2" s="492" t="s">
        <v>225</v>
      </c>
      <c r="B2" s="491" t="s">
        <v>226</v>
      </c>
      <c r="C2" s="491" t="s">
        <v>227</v>
      </c>
      <c r="D2" s="491" t="s">
        <v>228</v>
      </c>
      <c r="E2" s="491" t="s">
        <v>229</v>
      </c>
      <c r="F2" s="491" t="s">
        <v>230</v>
      </c>
      <c r="G2" s="491" t="s">
        <v>231</v>
      </c>
      <c r="H2" s="491" t="s">
        <v>232</v>
      </c>
      <c r="I2" s="491" t="s">
        <v>233</v>
      </c>
      <c r="J2" s="491" t="s">
        <v>234</v>
      </c>
      <c r="K2" s="491" t="s">
        <v>235</v>
      </c>
      <c r="L2" s="491" t="s">
        <v>236</v>
      </c>
      <c r="M2" s="491" t="s">
        <v>237</v>
      </c>
      <c r="N2" s="491" t="s">
        <v>238</v>
      </c>
      <c r="O2" s="491" t="s">
        <v>239</v>
      </c>
    </row>
    <row r="3" spans="1:15">
      <c r="A3" s="414" t="s">
        <v>240</v>
      </c>
      <c r="B3" s="413" t="s">
        <v>241</v>
      </c>
      <c r="C3" s="411">
        <f>IF(ISBLANK(B3),"",TCF_v02!$B$2)</f>
        <v>1.18</v>
      </c>
      <c r="D3" s="411">
        <f>IF(ISBLANK(B3),"",ECF_v02!$B$2)</f>
        <v>0.93499999999999994</v>
      </c>
      <c r="E3" s="411">
        <f>IFERROR(VLOOKUP(B3,UAW_v02!A6:B26,2,0),"")</f>
        <v>29</v>
      </c>
      <c r="F3" s="412">
        <v>25</v>
      </c>
      <c r="G3" s="412" t="s">
        <v>242</v>
      </c>
      <c r="H3" s="411">
        <f>IFERROR(YEAR(VLOOKUP(G3,INKREMENTY!$A$2:$F$21,4,0)),"")</f>
        <v>2027</v>
      </c>
      <c r="I3" s="410">
        <f>IFERROR(VLOOKUP(G3,INKREMENTY!$A$2:$F$21,6,0),"")</f>
        <v>2</v>
      </c>
      <c r="J3" s="639">
        <f>IFERROR(ROUND((SUMIF(KATALOG_POZIADAVKY!$G$3:$G$1037,MODULY_CBA!B3,KATALOG_POZIADAVKY!$P$3:$P$1037)/8),0),"")</f>
        <v>5999</v>
      </c>
      <c r="K3" s="428">
        <v>0.15</v>
      </c>
      <c r="L3" s="428">
        <v>0.2</v>
      </c>
      <c r="M3" s="428">
        <v>0.05</v>
      </c>
      <c r="N3" s="506">
        <v>2</v>
      </c>
      <c r="O3" s="506">
        <f>IFERROR($O$1*J3/$J$1,"")</f>
        <v>5999.3465226432536</v>
      </c>
    </row>
    <row r="4" spans="1:15">
      <c r="A4" s="414" t="s">
        <v>243</v>
      </c>
      <c r="B4" s="413" t="s">
        <v>244</v>
      </c>
      <c r="C4" s="411">
        <f>IF(ISBLANK(B4),"",TCF_v02!$B$2)</f>
        <v>1.18</v>
      </c>
      <c r="D4" s="411">
        <f>IF(ISBLANK(B4),"",ECF_v02!$B$2)</f>
        <v>0.93499999999999994</v>
      </c>
      <c r="E4" s="411">
        <f>IFERROR(VLOOKUP(B4,UAW_v02!A7:B27,2,0),"")</f>
        <v>29</v>
      </c>
      <c r="F4" s="412">
        <v>15</v>
      </c>
      <c r="G4" s="412" t="s">
        <v>242</v>
      </c>
      <c r="H4" s="411">
        <f>IFERROR(YEAR(VLOOKUP(G4,INKREMENTY!$A$2:$F$21,4,0)),"")</f>
        <v>2027</v>
      </c>
      <c r="I4" s="410">
        <f>IFERROR(VLOOKUP(G4,INKREMENTY!$A$2:$F$21,6,0),"")</f>
        <v>2</v>
      </c>
      <c r="J4" s="639">
        <f>IFERROR(ROUND((SUMIF(KATALOG_POZIADAVKY!$G$3:$G$1037,MODULY_CBA!B4,KATALOG_POZIADAVKY!$P$3:$P$1037)/8),0),"")</f>
        <v>424</v>
      </c>
      <c r="K4" s="428">
        <v>0.15</v>
      </c>
      <c r="L4" s="428">
        <v>0.2</v>
      </c>
      <c r="M4" s="428">
        <v>0.05</v>
      </c>
      <c r="N4" s="506">
        <v>2</v>
      </c>
      <c r="O4" s="506">
        <f t="shared" ref="O4:O23" si="0">IFERROR($O$1*J4/$J$1,"")</f>
        <v>424.02449168207022</v>
      </c>
    </row>
    <row r="5" spans="1:15">
      <c r="A5" s="414" t="s">
        <v>245</v>
      </c>
      <c r="B5" s="413" t="s">
        <v>246</v>
      </c>
      <c r="C5" s="411">
        <f>IF(ISBLANK(B5),"",TCF_v02!$B$2)</f>
        <v>1.18</v>
      </c>
      <c r="D5" s="411">
        <f>IF(ISBLANK(B5),"",ECF_v02!$B$2)</f>
        <v>0.93499999999999994</v>
      </c>
      <c r="E5" s="411">
        <f>IFERROR(VLOOKUP(B5,UAW_v02!A8:B28,2,0),"")</f>
        <v>29</v>
      </c>
      <c r="F5" s="412">
        <v>30</v>
      </c>
      <c r="G5" s="412" t="s">
        <v>242</v>
      </c>
      <c r="H5" s="411">
        <f>IFERROR(YEAR(VLOOKUP(G5,INKREMENTY!$A$2:$F$21,4,0)),"")</f>
        <v>2027</v>
      </c>
      <c r="I5" s="410">
        <f>IFERROR(VLOOKUP(G5,INKREMENTY!$A$2:$F$21,6,0),"")</f>
        <v>2</v>
      </c>
      <c r="J5" s="639">
        <f>IFERROR(ROUND((SUMIF(KATALOG_POZIADAVKY!$G$3:$G$1037,MODULY_CBA!B5,KATALOG_POZIADAVKY!$P$3:$P$1037)/8),0),"")</f>
        <v>414</v>
      </c>
      <c r="K5" s="428">
        <v>0.15</v>
      </c>
      <c r="L5" s="428">
        <v>0.2</v>
      </c>
      <c r="M5" s="428">
        <v>0.05</v>
      </c>
      <c r="N5" s="506">
        <v>2</v>
      </c>
      <c r="O5" s="506">
        <f t="shared" si="0"/>
        <v>414.02391404805917</v>
      </c>
    </row>
    <row r="6" spans="1:15">
      <c r="A6" s="414" t="s">
        <v>247</v>
      </c>
      <c r="B6" s="413" t="s">
        <v>248</v>
      </c>
      <c r="C6" s="411">
        <f>IF(ISBLANK(B6),"",TCF_v02!$B$2)</f>
        <v>1.18</v>
      </c>
      <c r="D6" s="411">
        <f>IF(ISBLANK(B6),"",ECF_v02!$B$2)</f>
        <v>0.93499999999999994</v>
      </c>
      <c r="E6" s="411">
        <f>IFERROR(VLOOKUP(B6,UAW_v02!A9:B29,2,0),"")</f>
        <v>29</v>
      </c>
      <c r="F6" s="412">
        <v>30</v>
      </c>
      <c r="G6" s="412" t="s">
        <v>242</v>
      </c>
      <c r="H6" s="411">
        <f>IFERROR(YEAR(VLOOKUP(G6,INKREMENTY!$A$2:$F$21,4,0)),"")</f>
        <v>2027</v>
      </c>
      <c r="I6" s="410">
        <f>IFERROR(VLOOKUP(G6,INKREMENTY!$A$2:$F$21,6,0),"")</f>
        <v>2</v>
      </c>
      <c r="J6" s="639">
        <f>IFERROR(ROUND((SUMIF(KATALOG_POZIADAVKY!$G$3:$G$1037,MODULY_CBA!B6,KATALOG_POZIADAVKY!$P$3:$P$1037)/8),0),"")</f>
        <v>248</v>
      </c>
      <c r="K6" s="428">
        <v>0.15</v>
      </c>
      <c r="L6" s="428">
        <v>0.2</v>
      </c>
      <c r="M6" s="428">
        <v>0.05</v>
      </c>
      <c r="N6" s="506">
        <v>2</v>
      </c>
      <c r="O6" s="506">
        <f t="shared" si="0"/>
        <v>248.01432532347505</v>
      </c>
    </row>
    <row r="7" spans="1:15">
      <c r="A7" s="414" t="s">
        <v>249</v>
      </c>
      <c r="B7" s="413" t="s">
        <v>250</v>
      </c>
      <c r="C7" s="411">
        <f>IF(ISBLANK(B7),"",TCF_v02!$B$2)</f>
        <v>1.18</v>
      </c>
      <c r="D7" s="411">
        <f>IF(ISBLANK(B7),"",ECF_v02!$B$2)</f>
        <v>0.93499999999999994</v>
      </c>
      <c r="E7" s="411">
        <f>IFERROR(VLOOKUP(B7,UAW_v02!A10:B30,2,0),"")</f>
        <v>31</v>
      </c>
      <c r="F7" s="412">
        <v>30</v>
      </c>
      <c r="G7" s="412" t="s">
        <v>251</v>
      </c>
      <c r="H7" s="411">
        <f>IFERROR(YEAR(VLOOKUP(G7,INKREMENTY!$A$2:$F$21,4,0)),"")</f>
        <v>2027</v>
      </c>
      <c r="I7" s="410">
        <f>IFERROR(VLOOKUP(G7,INKREMENTY!$A$2:$F$21,6,0),"")</f>
        <v>2</v>
      </c>
      <c r="J7" s="639">
        <f>IFERROR(ROUND((SUMIF(KATALOG_POZIADAVKY!$G$3:$G$1037,MODULY_CBA!B7,KATALOG_POZIADAVKY!$P$3:$P$1037)/8),0),"")</f>
        <v>414</v>
      </c>
      <c r="K7" s="428">
        <v>0.15</v>
      </c>
      <c r="L7" s="428">
        <v>0.2</v>
      </c>
      <c r="M7" s="428">
        <v>0.05</v>
      </c>
      <c r="N7" s="506">
        <v>2</v>
      </c>
      <c r="O7" s="506">
        <f t="shared" si="0"/>
        <v>414.02391404805917</v>
      </c>
    </row>
    <row r="8" spans="1:15">
      <c r="A8" s="414" t="s">
        <v>252</v>
      </c>
      <c r="B8" s="413" t="s">
        <v>253</v>
      </c>
      <c r="C8" s="411">
        <f>IF(ISBLANK(B8),"",TCF_v02!$B$2)</f>
        <v>1.18</v>
      </c>
      <c r="D8" s="411">
        <f>IF(ISBLANK(B8),"",ECF_v02!$B$2)</f>
        <v>0.93499999999999994</v>
      </c>
      <c r="E8" s="411">
        <f>IFERROR(VLOOKUP(B8,UAW_v02!A11:B31,2,0),"")</f>
        <v>15</v>
      </c>
      <c r="F8" s="412">
        <v>30</v>
      </c>
      <c r="G8" s="412" t="s">
        <v>242</v>
      </c>
      <c r="H8" s="411">
        <f>IFERROR(YEAR(VLOOKUP(G8,INKREMENTY!$A$2:$F$21,4,0)),"")</f>
        <v>2027</v>
      </c>
      <c r="I8" s="410">
        <f>IFERROR(VLOOKUP(G8,INKREMENTY!$A$2:$F$21,6,0),"")</f>
        <v>2</v>
      </c>
      <c r="J8" s="639">
        <f>IFERROR(ROUND((SUMIF(KATALOG_POZIADAVKY!$G$3:$G$1037,MODULY_CBA!B8,KATALOG_POZIADAVKY!$P$3:$P$1037)/8),0),"")</f>
        <v>83</v>
      </c>
      <c r="K8" s="428">
        <v>0.15</v>
      </c>
      <c r="L8" s="428">
        <v>0.2</v>
      </c>
      <c r="M8" s="428">
        <v>0.05</v>
      </c>
      <c r="N8" s="506">
        <v>2</v>
      </c>
      <c r="O8" s="506">
        <f t="shared" si="0"/>
        <v>83.004794362292046</v>
      </c>
    </row>
    <row r="9" spans="1:15">
      <c r="A9" s="414" t="s">
        <v>254</v>
      </c>
      <c r="B9" s="413" t="s">
        <v>255</v>
      </c>
      <c r="C9" s="411">
        <f>IF(ISBLANK(B9),"",TCF_v02!$B$2)</f>
        <v>1.18</v>
      </c>
      <c r="D9" s="411">
        <f>IF(ISBLANK(B9),"",ECF_v02!$B$2)</f>
        <v>0.93499999999999994</v>
      </c>
      <c r="E9" s="411">
        <f>IFERROR(VLOOKUP(B9,UAW_v02!A12:B32,2,0),"")</f>
        <v>29</v>
      </c>
      <c r="F9" s="412">
        <v>30</v>
      </c>
      <c r="G9" s="412" t="s">
        <v>256</v>
      </c>
      <c r="H9" s="411">
        <f>IFERROR(YEAR(VLOOKUP(G9,INKREMENTY!$A$2:$F$21,4,0)),"")</f>
        <v>2028</v>
      </c>
      <c r="I9" s="410">
        <f>IFERROR(VLOOKUP(G9,INKREMENTY!$A$2:$F$21,6,0),"")</f>
        <v>3</v>
      </c>
      <c r="J9" s="639">
        <f>IFERROR(ROUND((SUMIF(KATALOG_POZIADAVKY!$G$3:$G$1037,MODULY_CBA!B9,KATALOG_POZIADAVKY!$P$3:$P$1037)/8),0),"")</f>
        <v>9590</v>
      </c>
      <c r="K9" s="428">
        <v>0.15</v>
      </c>
      <c r="L9" s="428">
        <v>0.2</v>
      </c>
      <c r="M9" s="428">
        <v>0.05</v>
      </c>
      <c r="N9" s="506">
        <v>3</v>
      </c>
      <c r="O9" s="506">
        <f t="shared" si="0"/>
        <v>9590.5539510166363</v>
      </c>
    </row>
    <row r="10" spans="1:15">
      <c r="A10" s="414" t="s">
        <v>257</v>
      </c>
      <c r="B10" s="413" t="s">
        <v>258</v>
      </c>
      <c r="C10" s="411">
        <f>IF(ISBLANK(B10),"",TCF_v02!$B$2)</f>
        <v>1.18</v>
      </c>
      <c r="D10" s="411">
        <f>IF(ISBLANK(B10),"",ECF_v02!$B$2)</f>
        <v>0.93499999999999994</v>
      </c>
      <c r="E10" s="411">
        <f>IFERROR(VLOOKUP(B10,UAW_v02!A13:B33,2,0),"")</f>
        <v>29</v>
      </c>
      <c r="F10" s="412">
        <v>30</v>
      </c>
      <c r="G10" s="412" t="s">
        <v>256</v>
      </c>
      <c r="H10" s="411">
        <f>IFERROR(YEAR(VLOOKUP(G10,INKREMENTY!$A$2:$F$21,4,0)),"")</f>
        <v>2028</v>
      </c>
      <c r="I10" s="410">
        <f>IFERROR(VLOOKUP(G10,INKREMENTY!$A$2:$F$21,6,0),"")</f>
        <v>3</v>
      </c>
      <c r="J10" s="639">
        <f>IFERROR(ROUND((SUMIF(KATALOG_POZIADAVKY!$G$3:$G$1037,MODULY_CBA!B10,KATALOG_POZIADAVKY!$P$3:$P$1037)/8),0),"")</f>
        <v>1924</v>
      </c>
      <c r="K10" s="428">
        <v>0.15</v>
      </c>
      <c r="L10" s="428">
        <v>0.2</v>
      </c>
      <c r="M10" s="428">
        <v>0.05</v>
      </c>
      <c r="N10" s="506">
        <v>3</v>
      </c>
      <c r="O10" s="506">
        <f t="shared" si="0"/>
        <v>1924.1111367837339</v>
      </c>
    </row>
    <row r="11" spans="1:15">
      <c r="A11" s="414" t="s">
        <v>259</v>
      </c>
      <c r="B11" s="413" t="s">
        <v>260</v>
      </c>
      <c r="C11" s="411">
        <f>IF(ISBLANK(B11),"",TCF_v02!$B$2)</f>
        <v>1.18</v>
      </c>
      <c r="D11" s="411">
        <f>IF(ISBLANK(B11),"",ECF_v02!$B$2)</f>
        <v>0.93499999999999994</v>
      </c>
      <c r="E11" s="411">
        <f>IFERROR(VLOOKUP(B11,UAW_v02!A14:B34,2,0),"")</f>
        <v>29</v>
      </c>
      <c r="F11" s="412">
        <v>30</v>
      </c>
      <c r="G11" s="412" t="s">
        <v>256</v>
      </c>
      <c r="H11" s="411">
        <f>IFERROR(YEAR(VLOOKUP(G11,INKREMENTY!$A$2:$F$21,4,0)),"")</f>
        <v>2028</v>
      </c>
      <c r="I11" s="410">
        <f>IFERROR(VLOOKUP(G11,INKREMENTY!$A$2:$F$21,6,0),"")</f>
        <v>3</v>
      </c>
      <c r="J11" s="639">
        <f>IFERROR(ROUND((SUMIF(KATALOG_POZIADAVKY!$G$3:$G$1037,MODULY_CBA!B11,KATALOG_POZIADAVKY!$P$3:$P$1037)/8),0),"")</f>
        <v>952</v>
      </c>
      <c r="K11" s="428">
        <v>0.15</v>
      </c>
      <c r="L11" s="428">
        <v>0.2</v>
      </c>
      <c r="M11" s="428">
        <v>0.05</v>
      </c>
      <c r="N11" s="506">
        <v>3</v>
      </c>
      <c r="O11" s="506">
        <f t="shared" si="0"/>
        <v>952.05499075785588</v>
      </c>
    </row>
    <row r="12" spans="1:15">
      <c r="A12" s="414" t="s">
        <v>261</v>
      </c>
      <c r="B12" s="413" t="s">
        <v>262</v>
      </c>
      <c r="C12" s="411">
        <f>IF(ISBLANK(B12),"",TCF_v02!$B$2)</f>
        <v>1.18</v>
      </c>
      <c r="D12" s="411">
        <f>IF(ISBLANK(B12),"",ECF_v02!$B$2)</f>
        <v>0.93499999999999994</v>
      </c>
      <c r="E12" s="411">
        <f>IFERROR(VLOOKUP(B12,UAW_v02!A15:B35,2,0),"")</f>
        <v>29</v>
      </c>
      <c r="F12" s="412">
        <v>30</v>
      </c>
      <c r="G12" s="412" t="s">
        <v>263</v>
      </c>
      <c r="H12" s="411">
        <f>IFERROR(YEAR(VLOOKUP(G12,INKREMENTY!$A$2:$F$21,4,0)),"")</f>
        <v>2028</v>
      </c>
      <c r="I12" s="410">
        <f>IFERROR(VLOOKUP(G12,INKREMENTY!$A$2:$F$21,6,0),"")</f>
        <v>3</v>
      </c>
      <c r="J12" s="639">
        <f>IFERROR(ROUND((SUMIF(KATALOG_POZIADAVKY!$G$3:$G$1037,MODULY_CBA!B12,KATALOG_POZIADAVKY!$P$3:$P$1037)/8),0),"")</f>
        <v>7811</v>
      </c>
      <c r="K12" s="428">
        <v>0.15</v>
      </c>
      <c r="L12" s="428">
        <v>0.2</v>
      </c>
      <c r="M12" s="428">
        <v>0.05</v>
      </c>
      <c r="N12" s="506">
        <v>3</v>
      </c>
      <c r="O12" s="506">
        <f t="shared" si="0"/>
        <v>7811.4511899260624</v>
      </c>
    </row>
    <row r="13" spans="1:15">
      <c r="A13" s="414" t="s">
        <v>264</v>
      </c>
      <c r="B13" s="413" t="s">
        <v>265</v>
      </c>
      <c r="C13" s="411">
        <f>IF(ISBLANK(B13),"",TCF_v02!$B$2)</f>
        <v>1.18</v>
      </c>
      <c r="D13" s="411">
        <f>IF(ISBLANK(B13),"",ECF_v02!$B$2)</f>
        <v>0.93499999999999994</v>
      </c>
      <c r="E13" s="411">
        <f>IFERROR(VLOOKUP(B13,UAW_v02!A16:B36,2,0),"")</f>
        <v>15</v>
      </c>
      <c r="F13" s="412">
        <v>30</v>
      </c>
      <c r="G13" s="412" t="s">
        <v>266</v>
      </c>
      <c r="H13" s="411">
        <f>IFERROR(YEAR(VLOOKUP(G13,INKREMENTY!$A$2:$F$21,4,0)),"")</f>
        <v>2027</v>
      </c>
      <c r="I13" s="410">
        <f>IFERROR(VLOOKUP(G13,INKREMENTY!$A$2:$F$21,6,0),"")</f>
        <v>2</v>
      </c>
      <c r="J13" s="639">
        <f>IFERROR(ROUND((SUMIF(KATALOG_POZIADAVKY!$G$3:$G$1037,MODULY_CBA!B13,KATALOG_POZIADAVKY!$P$3:$P$1037)/8),0),"")</f>
        <v>6765</v>
      </c>
      <c r="K13" s="412"/>
      <c r="L13" s="412"/>
      <c r="M13" s="412"/>
      <c r="N13" s="506"/>
      <c r="O13" s="506">
        <f t="shared" si="0"/>
        <v>6765.3907694085028</v>
      </c>
    </row>
    <row r="14" spans="1:15">
      <c r="A14" s="414" t="s">
        <v>267</v>
      </c>
      <c r="B14" s="413"/>
      <c r="C14" s="411" t="str">
        <f>IF(ISBLANK(B14),"",TCF_v02!$B$2)</f>
        <v/>
      </c>
      <c r="D14" s="411" t="str">
        <f>IF(ISBLANK(B14),"",ECF_v02!$B$2)</f>
        <v/>
      </c>
      <c r="E14" s="411" t="str">
        <f>IFERROR(VLOOKUP(B14,UAW_v02!A17:B37,2,0),"")</f>
        <v/>
      </c>
      <c r="F14" s="412"/>
      <c r="G14" s="412"/>
      <c r="H14" s="411" t="str">
        <f>IFERROR(YEAR(VLOOKUP(G14,INKREMENTY!$A$2:$F$21,4,0)),"")</f>
        <v/>
      </c>
      <c r="I14" s="410" t="str">
        <f>IFERROR(VLOOKUP(G14,INKREMENTY!$A$2:$F$21,6,0),"")</f>
        <v/>
      </c>
      <c r="J14" s="639">
        <f>IFERROR(ROUND((SUMIF(KATALOG_POZIADAVKY!$G$3:$G$300,MODULY_CBA!B14,KATALOG_POZIADAVKY!$P$3:$P$300)/8),0),"")</f>
        <v>0</v>
      </c>
      <c r="K14" s="412"/>
      <c r="L14" s="412"/>
      <c r="M14" s="412"/>
      <c r="N14" s="506"/>
      <c r="O14" s="506">
        <f t="shared" si="0"/>
        <v>0</v>
      </c>
    </row>
    <row r="15" spans="1:15">
      <c r="A15" s="414" t="s">
        <v>268</v>
      </c>
      <c r="B15" s="413"/>
      <c r="C15" s="411" t="str">
        <f>IF(ISBLANK(B15),"",TCF_v02!$B$2)</f>
        <v/>
      </c>
      <c r="D15" s="411" t="str">
        <f>IF(ISBLANK(B15),"",ECF_v02!$B$2)</f>
        <v/>
      </c>
      <c r="E15" s="411" t="str">
        <f>IFERROR(VLOOKUP(B15,UAW_v02!A18:B38,2,0),"")</f>
        <v/>
      </c>
      <c r="F15" s="412"/>
      <c r="G15" s="412"/>
      <c r="H15" s="411" t="str">
        <f>IFERROR(YEAR(VLOOKUP(G15,INKREMENTY!$A$2:$F$21,4,0)),"")</f>
        <v/>
      </c>
      <c r="I15" s="410" t="str">
        <f>IFERROR(VLOOKUP(G15,INKREMENTY!$A$2:$F$21,6,0),"")</f>
        <v/>
      </c>
      <c r="J15" s="639">
        <f>IFERROR(ROUND((SUMIF(KATALOG_POZIADAVKY!$G$3:$G$300,MODULY_CBA!B15,KATALOG_POZIADAVKY!$P$3:$P$300)/8),0),"")</f>
        <v>0</v>
      </c>
      <c r="K15" s="412"/>
      <c r="L15" s="412"/>
      <c r="M15" s="412"/>
      <c r="N15" s="506"/>
      <c r="O15" s="506">
        <f t="shared" si="0"/>
        <v>0</v>
      </c>
    </row>
    <row r="16" spans="1:15">
      <c r="A16" s="414" t="s">
        <v>269</v>
      </c>
      <c r="B16" s="413"/>
      <c r="C16" s="411" t="str">
        <f>IF(ISBLANK(B16),"",TCF_v02!$B$2)</f>
        <v/>
      </c>
      <c r="D16" s="411" t="str">
        <f>IF(ISBLANK(B16),"",ECF_v02!$B$2)</f>
        <v/>
      </c>
      <c r="E16" s="411" t="str">
        <f>IFERROR(VLOOKUP(B16,UAW_v02!A19:B39,2,0),"")</f>
        <v/>
      </c>
      <c r="F16" s="412"/>
      <c r="G16" s="412"/>
      <c r="H16" s="411" t="str">
        <f>IFERROR(YEAR(VLOOKUP(G16,INKREMENTY!$A$2:$F$21,4,0)),"")</f>
        <v/>
      </c>
      <c r="I16" s="410" t="str">
        <f>IFERROR(VLOOKUP(G16,INKREMENTY!$A$2:$F$21,6,0),"")</f>
        <v/>
      </c>
      <c r="J16" s="639">
        <f>IFERROR(ROUND((SUMIF(KATALOG_POZIADAVKY!$G$3:$G$300,MODULY_CBA!B16,KATALOG_POZIADAVKY!$P$3:$P$300)/8),0),"")</f>
        <v>0</v>
      </c>
      <c r="K16" s="412"/>
      <c r="L16" s="412"/>
      <c r="M16" s="412"/>
      <c r="N16" s="506"/>
      <c r="O16" s="506">
        <f t="shared" si="0"/>
        <v>0</v>
      </c>
    </row>
    <row r="17" spans="1:15">
      <c r="A17" s="414" t="s">
        <v>270</v>
      </c>
      <c r="B17" s="413"/>
      <c r="C17" s="411" t="str">
        <f>IF(ISBLANK(B17),"",TCF_v02!$B$2)</f>
        <v/>
      </c>
      <c r="D17" s="411" t="str">
        <f>IF(ISBLANK(B17),"",ECF_v02!$B$2)</f>
        <v/>
      </c>
      <c r="E17" s="411" t="str">
        <f>IFERROR(VLOOKUP(B17,UAW_v02!A20:B40,2,0),"")</f>
        <v/>
      </c>
      <c r="F17" s="412"/>
      <c r="G17" s="412"/>
      <c r="H17" s="411" t="str">
        <f>IFERROR(YEAR(VLOOKUP(G17,INKREMENTY!$A$2:$F$21,4,0)),"")</f>
        <v/>
      </c>
      <c r="I17" s="410" t="str">
        <f>IFERROR(VLOOKUP(G17,INKREMENTY!$A$2:$F$21,6,0),"")</f>
        <v/>
      </c>
      <c r="J17" s="639">
        <f>IFERROR(ROUND((SUMIF(KATALOG_POZIADAVKY!$G$3:$G$300,MODULY_CBA!B17,KATALOG_POZIADAVKY!$P$3:$P$300)/8),0),"")</f>
        <v>0</v>
      </c>
      <c r="K17" s="412"/>
      <c r="L17" s="412"/>
      <c r="M17" s="412"/>
      <c r="N17" s="506"/>
      <c r="O17" s="506">
        <f t="shared" si="0"/>
        <v>0</v>
      </c>
    </row>
    <row r="18" spans="1:15">
      <c r="A18" s="414" t="s">
        <v>271</v>
      </c>
      <c r="B18" s="413"/>
      <c r="C18" s="411" t="str">
        <f>IF(ISBLANK(B18),"",TCF_v02!$B$2)</f>
        <v/>
      </c>
      <c r="D18" s="411" t="str">
        <f>IF(ISBLANK(B18),"",ECF_v02!$B$2)</f>
        <v/>
      </c>
      <c r="E18" s="411" t="str">
        <f>IFERROR(VLOOKUP(B18,UAW_v02!A21:B41,2,0),"")</f>
        <v/>
      </c>
      <c r="F18" s="412"/>
      <c r="G18" s="412"/>
      <c r="H18" s="411" t="str">
        <f>IFERROR(YEAR(VLOOKUP(G18,INKREMENTY!$A$2:$F$21,4,0)),"")</f>
        <v/>
      </c>
      <c r="I18" s="410" t="str">
        <f>IFERROR(VLOOKUP(G18,INKREMENTY!$A$2:$F$21,6,0),"")</f>
        <v/>
      </c>
      <c r="J18" s="639">
        <f>IFERROR(ROUND((SUMIF(KATALOG_POZIADAVKY!$G$3:$G$300,MODULY_CBA!B18,KATALOG_POZIADAVKY!$P$3:$P$300)/8),0),"")</f>
        <v>0</v>
      </c>
      <c r="K18" s="412"/>
      <c r="L18" s="412"/>
      <c r="M18" s="412"/>
      <c r="N18" s="506"/>
      <c r="O18" s="506">
        <f t="shared" si="0"/>
        <v>0</v>
      </c>
    </row>
    <row r="19" spans="1:15">
      <c r="A19" s="414" t="s">
        <v>272</v>
      </c>
      <c r="B19" s="413"/>
      <c r="C19" s="411" t="str">
        <f>IF(ISBLANK(B19),"",TCF_v02!$B$2)</f>
        <v/>
      </c>
      <c r="D19" s="411" t="str">
        <f>IF(ISBLANK(B19),"",ECF_v02!$B$2)</f>
        <v/>
      </c>
      <c r="E19" s="411" t="str">
        <f>IFERROR(VLOOKUP(B19,UAW_v02!A22:B42,2,0),"")</f>
        <v/>
      </c>
      <c r="F19" s="412"/>
      <c r="G19" s="412"/>
      <c r="H19" s="411" t="str">
        <f>IFERROR(YEAR(VLOOKUP(G19,INKREMENTY!$A$2:$F$21,4,0)),"")</f>
        <v/>
      </c>
      <c r="I19" s="410" t="str">
        <f>IFERROR(VLOOKUP(G19,INKREMENTY!$A$2:$F$21,6,0),"")</f>
        <v/>
      </c>
      <c r="J19" s="639">
        <f>IFERROR(ROUND((SUMIF(KATALOG_POZIADAVKY!$G$3:$G$300,MODULY_CBA!B19,KATALOG_POZIADAVKY!$P$3:$P$300)/8),0),"")</f>
        <v>0</v>
      </c>
      <c r="K19" s="412"/>
      <c r="L19" s="412"/>
      <c r="M19" s="412"/>
      <c r="N19" s="506"/>
      <c r="O19" s="506">
        <f t="shared" si="0"/>
        <v>0</v>
      </c>
    </row>
    <row r="20" spans="1:15">
      <c r="A20" s="414" t="s">
        <v>273</v>
      </c>
      <c r="B20" s="413"/>
      <c r="C20" s="411" t="str">
        <f>IF(ISBLANK(B20),"",TCF_v02!$B$2)</f>
        <v/>
      </c>
      <c r="D20" s="411" t="str">
        <f>IF(ISBLANK(B20),"",ECF_v02!$B$2)</f>
        <v/>
      </c>
      <c r="E20" s="411" t="str">
        <f>IFERROR(VLOOKUP(B20,UAW_v02!A23:B43,2,0),"")</f>
        <v/>
      </c>
      <c r="F20" s="412"/>
      <c r="G20" s="412"/>
      <c r="H20" s="411" t="str">
        <f>IFERROR(YEAR(VLOOKUP(G20,INKREMENTY!$A$2:$F$21,4,0)),"")</f>
        <v/>
      </c>
      <c r="I20" s="410" t="str">
        <f>IFERROR(VLOOKUP(G20,INKREMENTY!$A$2:$F$21,6,0),"")</f>
        <v/>
      </c>
      <c r="J20" s="639">
        <f>IFERROR(ROUND((SUMIF(KATALOG_POZIADAVKY!$G$3:$G$300,MODULY_CBA!B20,KATALOG_POZIADAVKY!$P$3:$P$300)/8),0),"")</f>
        <v>0</v>
      </c>
      <c r="K20" s="412"/>
      <c r="L20" s="412"/>
      <c r="M20" s="412"/>
      <c r="N20" s="506"/>
      <c r="O20" s="506">
        <f t="shared" si="0"/>
        <v>0</v>
      </c>
    </row>
    <row r="21" spans="1:15">
      <c r="A21" s="414" t="s">
        <v>274</v>
      </c>
      <c r="B21" s="413"/>
      <c r="C21" s="411" t="str">
        <f>IF(ISBLANK(B21),"",TCF_v02!$B$2)</f>
        <v/>
      </c>
      <c r="D21" s="411" t="str">
        <f>IF(ISBLANK(B21),"",ECF_v02!$B$2)</f>
        <v/>
      </c>
      <c r="E21" s="411" t="str">
        <f>IFERROR(VLOOKUP(B21,UAW_v02!A24:B44,2,0),"")</f>
        <v/>
      </c>
      <c r="F21" s="412"/>
      <c r="G21" s="412"/>
      <c r="H21" s="411" t="str">
        <f>IFERROR(YEAR(VLOOKUP(G21,INKREMENTY!$A$2:$F$21,4,0)),"")</f>
        <v/>
      </c>
      <c r="I21" s="410" t="str">
        <f>IFERROR(VLOOKUP(G21,INKREMENTY!$A$2:$F$21,6,0),"")</f>
        <v/>
      </c>
      <c r="J21" s="639">
        <f>IFERROR(ROUND((SUMIF(KATALOG_POZIADAVKY!$G$3:$G$300,MODULY_CBA!B21,KATALOG_POZIADAVKY!$P$3:$P$300)/8),0),"")</f>
        <v>0</v>
      </c>
      <c r="K21" s="412"/>
      <c r="L21" s="412"/>
      <c r="M21" s="412"/>
      <c r="N21" s="506"/>
      <c r="O21" s="506">
        <f t="shared" si="0"/>
        <v>0</v>
      </c>
    </row>
    <row r="22" spans="1:15">
      <c r="A22" s="414" t="s">
        <v>275</v>
      </c>
      <c r="B22" s="413"/>
      <c r="C22" s="411" t="str">
        <f>IF(ISBLANK(B22),"",TCF_v02!$B$2)</f>
        <v/>
      </c>
      <c r="D22" s="411" t="str">
        <f>IF(ISBLANK(B22),"",ECF_v02!$B$2)</f>
        <v/>
      </c>
      <c r="E22" s="411" t="str">
        <f>IFERROR(VLOOKUP(B22,UAW_v02!A25:B45,2,0),"")</f>
        <v/>
      </c>
      <c r="F22" s="412"/>
      <c r="G22" s="412"/>
      <c r="H22" s="411" t="str">
        <f>IFERROR(YEAR(VLOOKUP(G22,INKREMENTY!$A$2:$F$21,4,0)),"")</f>
        <v/>
      </c>
      <c r="I22" s="410" t="str">
        <f>IFERROR(VLOOKUP(G22,INKREMENTY!$A$2:$F$21,6,0),"")</f>
        <v/>
      </c>
      <c r="J22" s="639">
        <f>IFERROR(ROUND((SUMIF(KATALOG_POZIADAVKY!$G$3:$G$300,MODULY_CBA!B22,KATALOG_POZIADAVKY!$P$3:$P$300)/8),0),"")</f>
        <v>0</v>
      </c>
      <c r="K22" s="412"/>
      <c r="L22" s="412"/>
      <c r="M22" s="412"/>
      <c r="N22" s="506"/>
      <c r="O22" s="506">
        <f t="shared" si="0"/>
        <v>0</v>
      </c>
    </row>
    <row r="23" spans="1:15">
      <c r="A23" s="414" t="s">
        <v>276</v>
      </c>
      <c r="B23" s="413"/>
      <c r="C23" s="411" t="str">
        <f>IF(ISBLANK(B23),"",TCF_v02!$B$2)</f>
        <v/>
      </c>
      <c r="D23" s="411" t="str">
        <f>IF(ISBLANK(B23),"",ECF_v02!$B$2)</f>
        <v/>
      </c>
      <c r="E23" s="411" t="str">
        <f>IFERROR(VLOOKUP(B23,UAW_v02!A26:B46,2,0),"")</f>
        <v/>
      </c>
      <c r="F23" s="412"/>
      <c r="G23" s="412"/>
      <c r="H23" s="411" t="str">
        <f>IFERROR(YEAR(VLOOKUP(G23,INKREMENTY!$A$2:$F$21,4,0)),"")</f>
        <v/>
      </c>
      <c r="I23" s="410" t="str">
        <f>IFERROR(VLOOKUP(G23,INKREMENTY!$A$2:$F$21,6,0),"")</f>
        <v/>
      </c>
      <c r="J23" s="639">
        <f>IFERROR(ROUND((SUMIF(KATALOG_POZIADAVKY!$G$3:$G$300,MODULY_CBA!B23,KATALOG_POZIADAVKY!$P$3:$P$300)/8),0),"")</f>
        <v>0</v>
      </c>
      <c r="K23" s="412"/>
      <c r="L23" s="412"/>
      <c r="M23" s="412"/>
      <c r="N23" s="506"/>
      <c r="O23" s="506">
        <f t="shared" si="0"/>
        <v>0</v>
      </c>
    </row>
  </sheetData>
  <conditionalFormatting sqref="K3:K23">
    <cfRule type="cellIs" dxfId="628"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658FD9821AB9F45A459507717DD69A5" ma:contentTypeVersion="3" ma:contentTypeDescription="Umožňuje vytvoriť nový dokument." ma:contentTypeScope="" ma:versionID="0898404b019f13573e42a862f246fbcd">
  <xsd:schema xmlns:xsd="http://www.w3.org/2001/XMLSchema" xmlns:xs="http://www.w3.org/2001/XMLSchema" xmlns:p="http://schemas.microsoft.com/office/2006/metadata/properties" xmlns:ns2="5fcf246c-b3e0-41ac-a24e-8f6c57508d89" targetNamespace="http://schemas.microsoft.com/office/2006/metadata/properties" ma:root="true" ma:fieldsID="5fc41282ffe77e50de75525980d0c63a" ns2:_="">
    <xsd:import namespace="5fcf246c-b3e0-41ac-a24e-8f6c57508d8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cf246c-b3e0-41ac-a24e-8f6c57508d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30B427-5092-4D2B-B9BF-638E116ECE8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31A97E8-9C91-445E-BE8D-8F662D5EED29}">
  <ds:schemaRefs>
    <ds:schemaRef ds:uri="http://schemas.microsoft.com/sharepoint/v3/contenttype/forms"/>
  </ds:schemaRefs>
</ds:datastoreItem>
</file>

<file path=customXml/itemProps3.xml><?xml version="1.0" encoding="utf-8"?>
<ds:datastoreItem xmlns:ds="http://schemas.openxmlformats.org/officeDocument/2006/customXml" ds:itemID="{8FD5EF09-C509-4ACB-B529-3E93C99ED5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cf246c-b3e0-41ac-a24e-8f6c57508d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33</vt:i4>
      </vt:variant>
      <vt:variant>
        <vt:lpstr>Pomenované rozsahy</vt:lpstr>
      </vt:variant>
      <vt:variant>
        <vt:i4>23</vt:i4>
      </vt:variant>
    </vt:vector>
  </HeadingPairs>
  <TitlesOfParts>
    <vt:vector size="56"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INKREMENTY</vt:lpstr>
      <vt:lpstr>KATALOG_POZIADAVKY</vt:lpstr>
      <vt:lpstr>TCF_v02</vt:lpstr>
      <vt:lpstr>ECF_v02</vt:lpstr>
      <vt:lpstr>UAW_v02</vt:lpstr>
      <vt:lpstr>EXTERNE_POZICIE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2025-06-16T09:40:49Z</dcterms:created>
  <dcterms:modified xsi:type="dcterms:W3CDTF">2025-12-17T12:12:53Z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0x0101008658FD9821AB9F45A459507717DD69A5</vt:lpwstr>
  </property>
  <property fmtid="{D5CDD505-2E9C-101B-9397-08002B2CF9AE}" pid="3" name="MediaServiceImageTags">
    <vt:lpwstr/>
  </property>
  <property fmtid="{D5CDD505-2E9C-101B-9397-08002B2CF9AE}" pid="4" name="Order">
    <vt:r8>74100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